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87" activeTab="4"/>
  </bookViews>
  <sheets>
    <sheet name="Доходи" sheetId="1" r:id="rId1"/>
    <sheet name="дод2" sheetId="2" r:id="rId2"/>
    <sheet name="дод.3" sheetId="3" r:id="rId3"/>
    <sheet name="дод.4" sheetId="4" r:id="rId4"/>
    <sheet name="4.1" sheetId="5" r:id="rId5"/>
    <sheet name="дод.5" sheetId="6" r:id="rId6"/>
    <sheet name="Доходи (2)" sheetId="7" r:id="rId7"/>
    <sheet name="дод.3 (2)" sheetId="8" r:id="rId8"/>
    <sheet name="дод. 6" sheetId="9" r:id="rId9"/>
  </sheets>
  <definedNames>
    <definedName name="_xlfn.AGGREGATE" hidden="1">#NAME?</definedName>
    <definedName name="wrn.Інструкція." localSheetId="4" hidden="1">{#N/A,#N/A,FALSE,"Лист4"}</definedName>
    <definedName name="wrn.Інструкція." localSheetId="8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localSheetId="6" hidden="1">{#N/A,#N/A,FALSE,"Лист4"}</definedName>
    <definedName name="wrn.Інструкція." hidden="1">{#N/A,#N/A,FALSE,"Лист4"}</definedName>
    <definedName name="_xlnm.Print_Titles" localSheetId="8">'дод. 6'!$B:$B,'дод. 6'!$11:$23</definedName>
    <definedName name="_xlnm.Print_Titles" localSheetId="2">'дод.3'!$5:$7</definedName>
    <definedName name="_xlnm.Print_Titles" localSheetId="7">'дод.3 (2)'!$5:$7</definedName>
    <definedName name="_xlnm.Print_Titles" localSheetId="5">'дод.5'!$6:$6</definedName>
    <definedName name="_xlnm.Print_Area" localSheetId="4">'4.1'!$A$1:$E$37</definedName>
    <definedName name="_xlnm.Print_Area" localSheetId="8">'дод. 6'!$A$1:$J$60</definedName>
    <definedName name="_xlnm.Print_Area" localSheetId="3">'дод.4'!$A$1:$L$24</definedName>
    <definedName name="_xlnm.Print_Area" localSheetId="5">'дод.5'!$A$1:$J$41</definedName>
    <definedName name="_xlnm.Print_Area" localSheetId="0">'Доходи'!$A$1:$G$130</definedName>
    <definedName name="_xlnm.Print_Area" localSheetId="6">'Доходи (2)'!$A$1:$G$32</definedName>
    <definedName name="р" localSheetId="4" hidden="1">{#N/A,#N/A,FALSE,"Лист4"}</definedName>
    <definedName name="р" localSheetId="8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1" hidden="1">{#N/A,#N/A,FALSE,"Лист4"}</definedName>
    <definedName name="р" localSheetId="0" hidden="1">{#N/A,#N/A,FALSE,"Лист4"}</definedName>
    <definedName name="р" localSheetId="6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<sst xmlns="http://schemas.openxmlformats.org/spreadsheetml/2006/main" count="999" uniqueCount="430">
  <si>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</si>
  <si>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</si>
  <si>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</si>
  <si>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</si>
  <si>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</si>
  <si>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</si>
  <si>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Разом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</si>
  <si>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</si>
  <si>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</si>
  <si>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</si>
  <si>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</si>
  <si>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</si>
  <si>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</si>
  <si>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</si>
  <si>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</si>
  <si>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</si>
  <si>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Культура і мистецтво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</si>
  <si>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</si>
  <si>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</si>
  <si>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</si>
  <si>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</si>
  <si>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</si>
  <si>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</si>
  <si>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 xml:space="preserve">Код ТПКВКМБ 
</t>
  </si>
  <si>
    <t>Код ФКВКБ</t>
  </si>
  <si>
    <t>0116060</t>
  </si>
  <si>
    <t>6060</t>
  </si>
  <si>
    <t>0620</t>
  </si>
  <si>
    <t>8010</t>
  </si>
  <si>
    <t>0133</t>
  </si>
  <si>
    <t>РОЗПОДІЛ
видатків міського бюджету  на 2017рік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</si>
  <si>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1</t>
    </r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</si>
  <si>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</si>
  <si>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</si>
  <si>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</si>
  <si>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</si>
  <si>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</si>
  <si>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</si>
  <si>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</si>
  <si>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</si>
  <si>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</si>
  <si>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</si>
  <si>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</si>
  <si>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</si>
  <si>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</si>
  <si>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</si>
  <si>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</si>
  <si>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</si>
  <si>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</si>
  <si>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</si>
  <si>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</si>
  <si>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</si>
  <si>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</si>
  <si>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</si>
  <si>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</si>
  <si>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</si>
  <si>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</si>
  <si>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</si>
  <si>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</si>
  <si>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</si>
  <si>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</si>
  <si>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</si>
  <si>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</si>
  <si>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</si>
  <si>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</si>
  <si>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Освіта</t>
  </si>
  <si>
    <t>8380</t>
  </si>
  <si>
    <t>0180</t>
  </si>
  <si>
    <t>8390</t>
  </si>
  <si>
    <t>8800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</si>
  <si>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</si>
  <si>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8680</t>
  </si>
  <si>
    <t>грн.</t>
  </si>
  <si>
    <t>Інші субвенції</t>
  </si>
  <si>
    <t>Найменування головного розпорядника,відповідального виконавця,бюджетної програми або напряму видатків
згідно з типовою відомчою класифікацією/ТПКВКМБ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</si>
  <si>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</si>
  <si>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</si>
  <si>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</si>
  <si>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</si>
  <si>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</si>
  <si>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Палаци i будинки культури, клуби та iншi заклади клубного типу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</si>
  <si>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</si>
  <si>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</si>
  <si>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</si>
  <si>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</si>
  <si>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</si>
  <si>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</si>
  <si>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</si>
  <si>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</si>
  <si>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</si>
  <si>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</si>
  <si>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</si>
  <si>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</si>
  <si>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</si>
  <si>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</si>
  <si>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</si>
  <si>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</si>
  <si>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</si>
  <si>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</si>
  <si>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</si>
  <si>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</si>
  <si>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</si>
  <si>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</si>
  <si>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</si>
  <si>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</si>
  <si>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</si>
  <si>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</si>
  <si>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</si>
  <si>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</si>
  <si>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</si>
  <si>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</si>
  <si>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</si>
  <si>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</si>
  <si>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</si>
  <si>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</si>
  <si>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</si>
  <si>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</si>
  <si>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</si>
  <si>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</si>
  <si>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</si>
  <si>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</si>
  <si>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</si>
  <si>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</si>
  <si>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</si>
  <si>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</si>
  <si>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</si>
  <si>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0101180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</si>
  <si>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</si>
  <si>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0101000</t>
  </si>
  <si>
    <t>0244000</t>
  </si>
  <si>
    <t>0240180</t>
  </si>
  <si>
    <t>0105031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</si>
  <si>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</si>
  <si>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</si>
  <si>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 xml:space="preserve">Найменування згідно з класифікацією доходів бюджету </t>
  </si>
  <si>
    <t>в т.ч.бюджет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</si>
  <si>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</si>
  <si>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</si>
  <si>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</si>
  <si>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</si>
  <si>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</si>
  <si>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</si>
  <si>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</si>
  <si>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</si>
  <si>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</si>
  <si>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</si>
  <si>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</si>
  <si>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</si>
  <si>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</si>
  <si>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</si>
  <si>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</si>
  <si>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</si>
  <si>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</si>
  <si>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</si>
  <si>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</si>
  <si>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</si>
  <si>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</si>
  <si>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</si>
  <si>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</si>
  <si>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</si>
  <si>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</si>
  <si>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</si>
  <si>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</si>
  <si>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</si>
  <si>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</si>
  <si>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збір,сплачений фізичними особами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</si>
  <si>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</si>
  <si>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</si>
  <si>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</si>
  <si>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>Єдиний податок з сільськогосподарських товарів</t>
  </si>
  <si>
    <t>Інші податки та збори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</si>
  <si>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</si>
  <si>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</si>
  <si>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</si>
  <si>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</si>
  <si>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</si>
  <si>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</si>
  <si>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</si>
  <si>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</si>
  <si>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</si>
  <si>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</si>
  <si>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</si>
  <si>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</si>
  <si>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</si>
  <si>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</si>
  <si>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</si>
  <si>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</si>
  <si>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</si>
  <si>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</si>
  <si>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</si>
  <si>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</si>
  <si>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</si>
  <si>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</si>
  <si>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</si>
  <si>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</si>
  <si>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</si>
  <si>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</si>
  <si>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</si>
  <si>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</t>
  </si>
  <si>
    <t>Від органів державного управління</t>
  </si>
  <si>
    <t>Кошти, що надходять з інших бюджетів</t>
  </si>
  <si>
    <t xml:space="preserve">Дотації </t>
  </si>
  <si>
    <t>Базова дотація </t>
  </si>
  <si>
    <t>Субвенції</t>
  </si>
  <si>
    <t xml:space="preserve">Інші додаткові дотації  </t>
  </si>
  <si>
    <t>Цільові фонди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</si>
  <si>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</si>
  <si>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</si>
  <si>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Інші субвенції. </t>
  </si>
  <si>
    <t>Субенція з державного бюджету місцевим бюджетам на фінансування у 2006 році Програм переможців Всеукраїнського конкурсу проектів та програм розвитку місцевого самоврядування 2005р.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</si>
  <si>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</si>
  <si>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</si>
  <si>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шидкої медичної допомоги для сільських закладів охорони здоров"я.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</si>
  <si>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</si>
  <si>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Кошти, одержані із загального фонду бюджету до бюджету розвитку (спеціального фонду)</t>
  </si>
  <si>
    <t>Всього без (урахування трансфертів)</t>
  </si>
  <si>
    <t>М.К. Чиколай</t>
  </si>
  <si>
    <t>Є.П. Яковенко</t>
  </si>
  <si>
    <t>Погоджено: в.о. начальника управління фінансів, провідний спеціаліст бюджетного відділу</t>
  </si>
  <si>
    <t>Н.О. Метельська</t>
  </si>
  <si>
    <t>С.О. Ящик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</si>
  <si>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</si>
  <si>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проведення державної реєстрації речових прав на нерухоме майно та їх обтяжень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</si>
  <si>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</si>
  <si>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</t>
  </si>
  <si>
    <t xml:space="preserve">Школи естетичного виховання дiтей       </t>
  </si>
  <si>
    <t>4100</t>
  </si>
  <si>
    <t>0960</t>
  </si>
  <si>
    <t>4070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</si>
  <si>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</si>
  <si>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</si>
  <si>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</si>
  <si>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</si>
  <si>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</si>
  <si>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</si>
  <si>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</si>
  <si>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</si>
  <si>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</si>
  <si>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</si>
  <si>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</si>
  <si>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</si>
  <si>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</si>
  <si>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6051</t>
  </si>
  <si>
    <t>1000000</t>
  </si>
  <si>
    <t>Відділ освіти, молоді та спорту коростишівської міської ради</t>
  </si>
  <si>
    <t>1010000</t>
  </si>
  <si>
    <t>1010180</t>
  </si>
  <si>
    <t>1015031</t>
  </si>
  <si>
    <t>1011010</t>
  </si>
  <si>
    <t>1011090</t>
  </si>
  <si>
    <t>1015050</t>
  </si>
  <si>
    <t>1015052</t>
  </si>
  <si>
    <t>2400000</t>
  </si>
  <si>
    <t>Відділ культури та туризму Коростишівської міської ради</t>
  </si>
  <si>
    <t>2410000</t>
  </si>
  <si>
    <t>2410180</t>
  </si>
  <si>
    <t>2414060</t>
  </si>
  <si>
    <t>2414070</t>
  </si>
  <si>
    <t>2414090</t>
  </si>
  <si>
    <t>2414100</t>
  </si>
  <si>
    <t>2414200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</si>
  <si>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рад.</t>
  </si>
  <si>
    <t>Відділ освіти, молоді та спорту Коростишівської міської ради</t>
  </si>
  <si>
    <t>1015030</t>
  </si>
  <si>
    <t>5031</t>
  </si>
  <si>
    <t>0110</t>
  </si>
  <si>
    <t>Діяльність закладів фізичної культури і спорту</t>
  </si>
  <si>
    <t>Керівництво і управління у відповідній сфері у містах, селищах, селах</t>
  </si>
  <si>
    <t>0117610</t>
  </si>
  <si>
    <t>0117612</t>
  </si>
  <si>
    <t>7612</t>
  </si>
  <si>
    <t>Охорона і раціональне використання земель</t>
  </si>
  <si>
    <t>0511</t>
  </si>
  <si>
    <t>Охорона навколишнього природного середовища та ядерна безпека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</si>
  <si>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</si>
  <si>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</si>
  <si>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</si>
  <si>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</si>
  <si>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1011020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</si>
  <si>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</si>
  <si>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</t>
  </si>
  <si>
    <t>0116054</t>
  </si>
  <si>
    <t>6054</t>
  </si>
  <si>
    <t>Підтримка діяльності підприємств і організацій побутового обслуговування, що належать до комунальної власності</t>
  </si>
  <si>
    <t>Начальник фінансового управління</t>
  </si>
  <si>
    <t>А.О. Якименко</t>
  </si>
  <si>
    <t>1014200</t>
  </si>
  <si>
    <t>Додаток № 1
до інформації щодо внесення змін до міського бюджету на 2017 рік
 від 23.06.2017</t>
  </si>
  <si>
    <t>Додаток № 2
до інформації щодо внесення змін до міського бюджету на 2017 рік
 від 23.06.2017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</si>
  <si>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</si>
  <si>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</si>
  <si>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</t>
  </si>
  <si>
    <t>1011030</t>
  </si>
  <si>
    <t>1030</t>
  </si>
  <si>
    <t>Надання загальної середньої освіти вечiрнiми (змінними) школами</t>
  </si>
  <si>
    <t>1011170</t>
  </si>
  <si>
    <t>Методичне забезпечення діяльності навчальних закладів та інші заходи в галузі освіти</t>
  </si>
  <si>
    <t>0990</t>
  </si>
  <si>
    <t>1170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</si>
  <si>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</si>
  <si>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</si>
  <si>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1230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</si>
  <si>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</si>
  <si>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0116150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</si>
  <si>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</si>
  <si>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0640</t>
  </si>
  <si>
    <t>6150</t>
  </si>
  <si>
    <t>7518500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</si>
  <si>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</si>
  <si>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1080</t>
  </si>
  <si>
    <t>8500</t>
  </si>
  <si>
    <t>І.М. Кохан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</si>
  <si>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</si>
  <si>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</si>
  <si>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</si>
  <si>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</si>
  <si>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</si>
  <si>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</si>
  <si>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</si>
  <si>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</si>
  <si>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</si>
  <si>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</si>
  <si>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</si>
  <si>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</si>
  <si>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</si>
  <si>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</si>
  <si>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</si>
  <si>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</si>
  <si>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</si>
  <si>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</si>
  <si>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</si>
  <si>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</si>
  <si>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</si>
  <si>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</si>
  <si>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</si>
  <si>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</si>
  <si>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</si>
  <si>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</si>
  <si>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</si>
  <si>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</si>
  <si>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</si>
  <si>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</si>
  <si>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загальноосвітніх навчальних закладів на поточні видатки</t>
  </si>
  <si>
    <t>Відділу освіти Коростишівської РДА для утримання загальноосвітніх навчальних закладів ОТГ на поточні видатки</t>
  </si>
  <si>
    <t>Відділу освіти Коростишівської РДА для придбання продуктів харчування загальноосвітнім навчальним закладам ОТГ в період роботи пришкільних таборів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</si>
  <si>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</si>
  <si>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</si>
  <si>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</si>
  <si>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</si>
  <si>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</si>
  <si>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</si>
  <si>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</si>
  <si>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</si>
  <si>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КЗ "Центру ПМСД Коростишівського району" на капітальні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</si>
  <si>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</si>
  <si>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</si>
  <si>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</si>
  <si>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</si>
  <si>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</si>
  <si>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</si>
  <si>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</si>
  <si>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</si>
  <si>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</si>
  <si>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</si>
  <si>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</si>
  <si>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</si>
  <si>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</si>
  <si>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</si>
  <si>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ВСЬОГО:</t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</si>
  <si>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</si>
  <si>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</si>
  <si>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</si>
  <si>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</si>
  <si>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</si>
  <si>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</si>
  <si>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</si>
  <si>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</si>
  <si>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</si>
  <si>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</si>
  <si>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Капітальний ремонт зовнішніх каналізаційних мереж ДНЗ№5 "Льонок" вул.Героїв Чорнобиля,48 м.Коростишів</t>
  </si>
  <si>
    <t>Капітальний ремонт будівель та споруд на головному водозаборі</t>
  </si>
  <si>
    <t>ПКД "Капітальний ремонт водогонів по вул. П.Орлика, № 7-16"</t>
  </si>
  <si>
    <t>Капітальний ремонт водогонів по вул. Огієнка</t>
  </si>
  <si>
    <t>Придбання глибинних насосів на артезіанські свердловини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</si>
  <si>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</si>
  <si>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</si>
  <si>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</si>
  <si>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Придбання генеретора</t>
  </si>
  <si>
    <t>Капітальний ремонт станції водоочистки по вул. Грибоєдова в м.Коростишеві</t>
  </si>
  <si>
    <t>Капітальні видатки</t>
  </si>
  <si>
    <t>Міський голова                                                 _____________________________                                               І.М. Кохан</t>
  </si>
  <si>
    <t>Коростишівській районній організації ветеранів війни та праці на поточні видатки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</si>
  <si>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</si>
  <si>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</si>
  <si>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</si>
  <si>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</si>
  <si>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</si>
  <si>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</si>
  <si>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</si>
  <si>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</si>
  <si>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</si>
  <si>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</si>
  <si>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</si>
  <si>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</si>
  <si>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</si>
  <si>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</si>
  <si>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</si>
  <si>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</si>
  <si>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</si>
  <si>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</si>
  <si>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</si>
  <si>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</si>
  <si>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</si>
  <si>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</si>
  <si>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ПКД на "Капітальний ремонт верхньої частини парку в м. Коростишеві"</t>
  </si>
  <si>
    <t>Придбання бульдозера Д-3109 на базі трактора Т130</t>
  </si>
  <si>
    <t>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</si>
  <si>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 xml:space="preserve">Відділу культури Коростишівської РДА для утримання інших культурно-освітніх закладів та заходів на оплату електроенергії  </t>
  </si>
  <si>
    <t>ПКД на «Капітальний ремонт (ефективна термосанація) будівлі дошкільного навчального закладу № 13 в м. Коростишеві</t>
  </si>
  <si>
    <t>ПКД на «Капітальний ремонт будівлі (ефективна термосанація) та будівництво господарського блоку дошкільного навчального закладу № 10 по вул.. Семінарська, 68 в м. Коростишеві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</si>
  <si>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</si>
  <si>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№ 1
до рішення ХХХVІІ (позачергової) сесії VII скликання
"Про внесення змін до міського бюджету на 2017 рік" від 07.07.2017 №</t>
  </si>
  <si>
    <t>Додаток № 2
до рішення ХХХVІІ (позачергової) сесії VII скликання
"Про внесення змін до міського бюджету на 2017 рік" від 07.07.2017 №</t>
  </si>
  <si>
    <t xml:space="preserve">Додаток № 3
до рішення ХХХVІІ (позачергової) сесії VII скликання
"Про внесення змін до міського бюджету  на 2017 рік"від 07.07.17р.№                        </t>
  </si>
  <si>
    <t xml:space="preserve">Додаток № 4
до рішення ХХХVІІ (позачергової) сесії VII скликання
"Про внесення змін до міського бюджету  на 2017 рік"від 07.07.17р.№      </t>
  </si>
  <si>
    <t xml:space="preserve">Додаток № 4.1.
до рішення ХХХVІІ (позачергової) сесії VII скликання
"Про внесення змін до міського бюджету  на 2017 рік"від 07.07.17р.№     </t>
  </si>
  <si>
    <t>Додаток № 5.
до рішення ХХХVІІ (позачергової) сесії VII скликання
"Про внесення змін до міського бюджету  на 2017 рік"від 07.07.17р.№</t>
  </si>
  <si>
    <t xml:space="preserve">Додаток № 6.
до рішення ХХХVІІ (позачергової) сесії VII скликання
"Про внесення змін до міського бюджету  на 2017 рік"від 07.07.17р.№                                                                                               </t>
  </si>
  <si>
    <t>ПКД на "Капітальний ремонт водогонів по вул. І. Огієнка в м. Коростишів"</t>
  </si>
  <si>
    <t>ПКД на "Капітальний ремонт приточних каналізаційних резервуарів, колодязів та мереж на КНС №1, 2,3,4,5"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</si>
</sst>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</numFmts>
  <fonts count="77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8"/>
      <name val="Times New Roman"/>
      <family val="0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9" applyNumberFormat="0" applyFill="0" applyAlignment="0" applyProtection="0"/>
    <xf numFmtId="0" fontId="11" fillId="0" borderId="0">
      <alignment/>
      <protection/>
    </xf>
    <xf numFmtId="0" fontId="75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77">
      <alignment/>
      <protection/>
    </xf>
    <xf numFmtId="0" fontId="15" fillId="0" borderId="0" xfId="77" applyFont="1">
      <alignment/>
      <protection/>
    </xf>
    <xf numFmtId="0" fontId="15" fillId="0" borderId="10" xfId="77" applyBorder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77" applyAlignment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14" fillId="0" borderId="12" xfId="69" applyNumberFormat="1" applyFont="1" applyFill="1" applyBorder="1" applyAlignment="1">
      <alignment horizontal="center" vertical="center"/>
      <protection/>
    </xf>
    <xf numFmtId="4" fontId="13" fillId="0" borderId="12" xfId="69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0" fontId="15" fillId="0" borderId="0" xfId="77" applyFont="1" applyFill="1">
      <alignment/>
      <protection/>
    </xf>
    <xf numFmtId="0" fontId="14" fillId="0" borderId="12" xfId="0" applyFont="1" applyFill="1" applyBorder="1" applyAlignment="1">
      <alignment wrapText="1"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15" fillId="0" borderId="0" xfId="77" applyFill="1" applyAlignment="1">
      <alignment wrapText="1"/>
      <protection/>
    </xf>
    <xf numFmtId="0" fontId="15" fillId="0" borderId="0" xfId="77" applyFill="1">
      <alignment/>
      <protection/>
    </xf>
    <xf numFmtId="0" fontId="15" fillId="0" borderId="0" xfId="77" applyFont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15" xfId="77" applyNumberFormat="1" applyFont="1" applyBorder="1" applyAlignment="1">
      <alignment horizontal="center" vertical="center" wrapText="1"/>
      <protection/>
    </xf>
    <xf numFmtId="0" fontId="14" fillId="0" borderId="15" xfId="77" applyNumberFormat="1" applyFont="1" applyBorder="1" applyAlignment="1">
      <alignment horizontal="center"/>
      <protection/>
    </xf>
    <xf numFmtId="0" fontId="14" fillId="0" borderId="15" xfId="77" applyNumberFormat="1" applyFont="1" applyBorder="1" applyAlignment="1">
      <alignment horizontal="center" wrapText="1"/>
      <protection/>
    </xf>
    <xf numFmtId="0" fontId="4" fillId="0" borderId="15" xfId="77" applyNumberFormat="1" applyFont="1" applyFill="1" applyBorder="1" applyAlignment="1" applyProtection="1">
      <alignment horizontal="center" vertical="center" wrapText="1"/>
      <protection/>
    </xf>
    <xf numFmtId="0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13" fillId="0" borderId="15" xfId="77" applyNumberFormat="1" applyFont="1" applyBorder="1" applyAlignment="1">
      <alignment horizontal="center"/>
      <protection/>
    </xf>
    <xf numFmtId="0" fontId="0" fillId="0" borderId="16" xfId="77" applyNumberFormat="1" applyFont="1" applyFill="1" applyBorder="1" applyAlignment="1" applyProtection="1">
      <alignment horizontal="center" vertical="center" wrapText="1"/>
      <protection/>
    </xf>
    <xf numFmtId="0" fontId="0" fillId="0" borderId="16" xfId="77" applyNumberFormat="1" applyFont="1" applyFill="1" applyBorder="1" applyAlignment="1" applyProtection="1">
      <alignment vertical="center" wrapText="1"/>
      <protection/>
    </xf>
    <xf numFmtId="2" fontId="13" fillId="0" borderId="15" xfId="77" applyNumberFormat="1" applyFont="1" applyBorder="1" applyAlignment="1">
      <alignment horizontal="center" vertical="center" wrapText="1"/>
      <protection/>
    </xf>
    <xf numFmtId="0" fontId="4" fillId="0" borderId="17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vertical="center" wrapText="1"/>
      <protection/>
    </xf>
    <xf numFmtId="2" fontId="13" fillId="0" borderId="18" xfId="77" applyNumberFormat="1" applyFont="1" applyBorder="1" applyAlignment="1">
      <alignment horizontal="center" vertical="center" wrapText="1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vertical="center" wrapText="1"/>
      <protection/>
    </xf>
    <xf numFmtId="2" fontId="14" fillId="0" borderId="18" xfId="77" applyNumberFormat="1" applyFont="1" applyBorder="1" applyAlignment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vertical="center" wrapText="1"/>
      <protection/>
    </xf>
    <xf numFmtId="0" fontId="0" fillId="0" borderId="15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77" applyNumberFormat="1" applyFont="1" applyFill="1" applyBorder="1" applyAlignment="1" applyProtection="1">
      <alignment vertical="center" wrapText="1"/>
      <protection/>
    </xf>
    <xf numFmtId="0" fontId="4" fillId="0" borderId="15" xfId="77" applyNumberFormat="1" applyFont="1" applyFill="1" applyBorder="1" applyAlignment="1" applyProtection="1">
      <alignment vertical="center" wrapText="1"/>
      <protection/>
    </xf>
    <xf numFmtId="0" fontId="7" fillId="0" borderId="0" xfId="77" applyFont="1">
      <alignment/>
      <protection/>
    </xf>
    <xf numFmtId="0" fontId="0" fillId="0" borderId="15" xfId="77" applyNumberFormat="1" applyFont="1" applyFill="1" applyBorder="1" applyAlignment="1" applyProtection="1">
      <alignment horizontal="left" vertical="center" wrapText="1"/>
      <protection/>
    </xf>
    <xf numFmtId="0" fontId="18" fillId="0" borderId="15" xfId="0" applyFont="1" applyBorder="1" applyAlignment="1">
      <alignment wrapText="1"/>
    </xf>
    <xf numFmtId="0" fontId="15" fillId="33" borderId="0" xfId="77" applyFont="1" applyFill="1">
      <alignment/>
      <protection/>
    </xf>
    <xf numFmtId="2" fontId="14" fillId="0" borderId="15" xfId="77" applyNumberFormat="1" applyFont="1" applyFill="1" applyBorder="1" applyAlignment="1">
      <alignment horizontal="center" vertical="center" wrapText="1"/>
      <protection/>
    </xf>
    <xf numFmtId="0" fontId="13" fillId="0" borderId="15" xfId="77" applyFont="1" applyFill="1" applyBorder="1" applyAlignment="1">
      <alignment horizontal="center" vertical="center" wrapText="1" shrinkToFit="1"/>
      <protection/>
    </xf>
    <xf numFmtId="0" fontId="4" fillId="0" borderId="15" xfId="77" applyFont="1" applyBorder="1" applyAlignment="1">
      <alignment wrapText="1"/>
      <protection/>
    </xf>
    <xf numFmtId="2" fontId="4" fillId="0" borderId="15" xfId="77" applyNumberFormat="1" applyFont="1" applyBorder="1">
      <alignment/>
      <protection/>
    </xf>
    <xf numFmtId="0" fontId="14" fillId="0" borderId="15" xfId="77" applyFont="1" applyBorder="1" applyAlignment="1">
      <alignment horizontal="center" vertical="center" wrapText="1" shrinkToFit="1"/>
      <protection/>
    </xf>
    <xf numFmtId="0" fontId="14" fillId="0" borderId="15" xfId="77" applyFont="1" applyBorder="1" applyAlignment="1">
      <alignment horizontal="justify" wrapText="1"/>
      <protection/>
    </xf>
    <xf numFmtId="0" fontId="0" fillId="0" borderId="15" xfId="77" applyNumberFormat="1" applyFont="1" applyBorder="1" applyAlignment="1">
      <alignment wrapText="1"/>
      <protection/>
    </xf>
    <xf numFmtId="0" fontId="0" fillId="0" borderId="15" xfId="77" applyFont="1" applyBorder="1" applyAlignment="1">
      <alignment wrapText="1"/>
      <protection/>
    </xf>
    <xf numFmtId="0" fontId="15" fillId="0" borderId="0" xfId="77" applyAlignment="1">
      <alignment horizontal="center"/>
      <protection/>
    </xf>
    <xf numFmtId="0" fontId="15" fillId="0" borderId="0" xfId="77" applyFont="1" applyAlignment="1">
      <alignment horizontal="center"/>
      <protection/>
    </xf>
    <xf numFmtId="0" fontId="15" fillId="0" borderId="10" xfId="77" applyFont="1" applyFill="1" applyBorder="1">
      <alignment/>
      <protection/>
    </xf>
    <xf numFmtId="0" fontId="0" fillId="0" borderId="0" xfId="0" applyFont="1" applyAlignment="1">
      <alignment wrapText="1"/>
    </xf>
    <xf numFmtId="0" fontId="19" fillId="0" borderId="0" xfId="75" applyNumberFormat="1" applyFont="1" applyFill="1" applyAlignment="1" applyProtection="1">
      <alignment/>
      <protection/>
    </xf>
    <xf numFmtId="0" fontId="19" fillId="0" borderId="0" xfId="75" applyFont="1" applyFill="1">
      <alignment/>
      <protection/>
    </xf>
    <xf numFmtId="0" fontId="0" fillId="0" borderId="0" xfId="75" applyNumberFormat="1" applyFont="1" applyFill="1" applyAlignment="1" applyProtection="1">
      <alignment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0" fillId="0" borderId="0" xfId="75" applyFont="1" applyFill="1">
      <alignment/>
      <protection/>
    </xf>
    <xf numFmtId="0" fontId="0" fillId="0" borderId="10" xfId="75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/>
      <protection/>
    </xf>
    <xf numFmtId="0" fontId="20" fillId="0" borderId="0" xfId="75" applyNumberFormat="1" applyFont="1" applyFill="1" applyBorder="1" applyAlignment="1" applyProtection="1">
      <alignment horizontal="center" vertical="top"/>
      <protection/>
    </xf>
    <xf numFmtId="0" fontId="17" fillId="0" borderId="10" xfId="75" applyNumberFormat="1" applyFont="1" applyFill="1" applyBorder="1" applyAlignment="1" applyProtection="1">
      <alignment horizontal="right" vertical="center"/>
      <protection/>
    </xf>
    <xf numFmtId="0" fontId="0" fillId="0" borderId="0" xfId="75" applyNumberFormat="1" applyFont="1" applyFill="1" applyBorder="1" applyAlignment="1" applyProtection="1">
      <alignment/>
      <protection/>
    </xf>
    <xf numFmtId="0" fontId="4" fillId="0" borderId="20" xfId="75" applyNumberFormat="1" applyFont="1" applyFill="1" applyBorder="1" applyAlignment="1" applyProtection="1">
      <alignment horizontal="center" vertical="center" wrapText="1"/>
      <protection/>
    </xf>
    <xf numFmtId="0" fontId="4" fillId="0" borderId="14" xfId="75" applyNumberFormat="1" applyFont="1" applyFill="1" applyBorder="1" applyAlignment="1" applyProtection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NumberFormat="1" applyFont="1" applyFill="1" applyAlignment="1" applyProtection="1">
      <alignment vertical="center"/>
      <protection/>
    </xf>
    <xf numFmtId="49" fontId="5" fillId="0" borderId="12" xfId="75" applyNumberFormat="1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justify" vertical="center" wrapText="1"/>
      <protection/>
    </xf>
    <xf numFmtId="174" fontId="13" fillId="0" borderId="12" xfId="69" applyNumberFormat="1" applyFont="1" applyBorder="1" applyAlignment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5" fillId="0" borderId="12" xfId="75" applyFont="1" applyBorder="1" applyAlignment="1">
      <alignment horizontal="center" vertical="center" wrapText="1"/>
      <protection/>
    </xf>
    <xf numFmtId="174" fontId="13" fillId="0" borderId="12" xfId="69" applyNumberFormat="1" applyFont="1" applyBorder="1" applyAlignment="1">
      <alignment horizontal="center" vertical="center"/>
      <protection/>
    </xf>
    <xf numFmtId="4" fontId="13" fillId="0" borderId="12" xfId="91" applyNumberFormat="1" applyFont="1" applyBorder="1" applyAlignment="1">
      <alignment horizontal="center" vertical="center"/>
    </xf>
    <xf numFmtId="49" fontId="2" fillId="0" borderId="12" xfId="75" applyNumberFormat="1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justify" vertical="center" wrapText="1"/>
      <protection/>
    </xf>
    <xf numFmtId="4" fontId="14" fillId="0" borderId="12" xfId="69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75" applyNumberFormat="1" applyFont="1" applyFill="1" applyAlignment="1" applyProtection="1">
      <alignment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3" fillId="0" borderId="12" xfId="69" applyNumberFormat="1" applyFont="1" applyBorder="1" applyAlignment="1">
      <alignment horizontal="center" vertical="center"/>
      <protection/>
    </xf>
    <xf numFmtId="0" fontId="4" fillId="0" borderId="0" xfId="75" applyFont="1" applyFill="1">
      <alignment/>
      <protection/>
    </xf>
    <xf numFmtId="0" fontId="2" fillId="0" borderId="12" xfId="75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left" vertical="center" wrapText="1"/>
      <protection/>
    </xf>
    <xf numFmtId="174" fontId="21" fillId="0" borderId="12" xfId="75" applyNumberFormat="1" applyFont="1" applyBorder="1" applyAlignment="1">
      <alignment horizontal="center" vertical="center"/>
      <protection/>
    </xf>
    <xf numFmtId="4" fontId="22" fillId="0" borderId="12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horizontal="left" vertical="center" wrapText="1"/>
      <protection/>
    </xf>
    <xf numFmtId="0" fontId="0" fillId="0" borderId="0" xfId="75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69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2" xfId="0" applyFont="1" applyBorder="1" applyAlignment="1">
      <alignment horizontal="right"/>
    </xf>
    <xf numFmtId="0" fontId="29" fillId="0" borderId="12" xfId="34" applyFont="1" applyBorder="1" applyAlignment="1">
      <alignment horizontal="right"/>
      <protection/>
    </xf>
    <xf numFmtId="0" fontId="29" fillId="0" borderId="21" xfId="34" applyFont="1" applyBorder="1" applyAlignment="1">
      <alignment horizontal="center"/>
      <protection/>
    </xf>
    <xf numFmtId="0" fontId="29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9" fillId="34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wrapText="1"/>
    </xf>
    <xf numFmtId="0" fontId="32" fillId="0" borderId="12" xfId="0" applyFont="1" applyBorder="1" applyAlignment="1">
      <alignment horizontal="right"/>
    </xf>
    <xf numFmtId="0" fontId="5" fillId="0" borderId="12" xfId="34" applyFont="1" applyBorder="1" applyAlignment="1">
      <alignment horizontal="right"/>
      <protection/>
    </xf>
    <xf numFmtId="0" fontId="5" fillId="0" borderId="21" xfId="34" applyFont="1" applyBorder="1" applyAlignment="1">
      <alignment horizontal="center"/>
      <protection/>
    </xf>
    <xf numFmtId="49" fontId="31" fillId="0" borderId="12" xfId="0" applyNumberFormat="1" applyFont="1" applyBorder="1" applyAlignment="1">
      <alignment wrapText="1"/>
    </xf>
    <xf numFmtId="4" fontId="20" fillId="34" borderId="12" xfId="0" applyNumberFormat="1" applyFont="1" applyFill="1" applyBorder="1" applyAlignment="1">
      <alignment wrapText="1"/>
    </xf>
    <xf numFmtId="4" fontId="20" fillId="34" borderId="12" xfId="0" applyNumberFormat="1" applyFont="1" applyFill="1" applyBorder="1" applyAlignment="1">
      <alignment horizontal="right" wrapText="1"/>
    </xf>
    <xf numFmtId="49" fontId="20" fillId="34" borderId="12" xfId="0" applyNumberFormat="1" applyFont="1" applyFill="1" applyBorder="1" applyAlignment="1">
      <alignment horizontal="right" wrapText="1"/>
    </xf>
    <xf numFmtId="49" fontId="20" fillId="34" borderId="12" xfId="0" applyNumberFormat="1" applyFont="1" applyFill="1" applyBorder="1" applyAlignment="1">
      <alignment wrapText="1"/>
    </xf>
    <xf numFmtId="0" fontId="33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 wrapText="1"/>
    </xf>
    <xf numFmtId="0" fontId="5" fillId="0" borderId="12" xfId="34" applyFont="1" applyBorder="1" applyAlignment="1">
      <alignment horizontal="right" wrapText="1"/>
      <protection/>
    </xf>
    <xf numFmtId="0" fontId="34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5" fillId="0" borderId="0" xfId="77" applyFont="1" applyAlignment="1">
      <alignment wrapText="1"/>
      <protection/>
    </xf>
    <xf numFmtId="0" fontId="35" fillId="0" borderId="0" xfId="77" applyFont="1">
      <alignment/>
      <protection/>
    </xf>
    <xf numFmtId="0" fontId="35" fillId="0" borderId="22" xfId="77" applyFont="1" applyBorder="1">
      <alignment/>
      <protection/>
    </xf>
    <xf numFmtId="0" fontId="35" fillId="0" borderId="0" xfId="77" applyFont="1">
      <alignment/>
      <protection/>
    </xf>
    <xf numFmtId="2" fontId="2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6" fillId="0" borderId="23" xfId="0" applyFont="1" applyBorder="1" applyAlignment="1">
      <alignment horizontal="center"/>
    </xf>
    <xf numFmtId="0" fontId="0" fillId="0" borderId="0" xfId="80" applyFont="1" applyFill="1" applyAlignment="1">
      <alignment horizontal="centerContinuous"/>
      <protection/>
    </xf>
    <xf numFmtId="0" fontId="6" fillId="0" borderId="0" xfId="80" applyFont="1">
      <alignment/>
      <protection/>
    </xf>
    <xf numFmtId="0" fontId="0" fillId="0" borderId="0" xfId="80" applyFont="1" applyAlignment="1">
      <alignment/>
      <protection/>
    </xf>
    <xf numFmtId="0" fontId="0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0" fillId="0" borderId="0" xfId="80" applyFont="1" applyFill="1" applyAlignment="1">
      <alignment/>
      <protection/>
    </xf>
    <xf numFmtId="0" fontId="0" fillId="0" borderId="0" xfId="80" applyFont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right"/>
      <protection/>
    </xf>
    <xf numFmtId="0" fontId="0" fillId="0" borderId="24" xfId="80" applyFont="1" applyBorder="1" applyAlignment="1">
      <alignment horizontal="center" vertical="top" wrapText="1"/>
      <protection/>
    </xf>
    <xf numFmtId="0" fontId="0" fillId="0" borderId="12" xfId="80" applyFont="1" applyBorder="1" applyAlignment="1">
      <alignment horizontal="center" vertical="top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24" xfId="80" applyFont="1" applyBorder="1" applyAlignment="1">
      <alignment horizontal="center" vertical="center" wrapText="1"/>
      <protection/>
    </xf>
    <xf numFmtId="0" fontId="0" fillId="0" borderId="12" xfId="80" applyFont="1" applyBorder="1" applyAlignment="1">
      <alignment horizontal="center" vertical="center" wrapText="1"/>
      <protection/>
    </xf>
    <xf numFmtId="0" fontId="0" fillId="0" borderId="0" xfId="80" applyFont="1" applyFill="1" applyAlignment="1">
      <alignment horizontal="center" vertical="center"/>
      <protection/>
    </xf>
    <xf numFmtId="0" fontId="0" fillId="0" borderId="12" xfId="79" applyFont="1" applyBorder="1" applyAlignment="1">
      <alignment horizontal="justify" vertical="center" wrapText="1"/>
      <protection/>
    </xf>
    <xf numFmtId="174" fontId="0" fillId="0" borderId="0" xfId="80" applyNumberFormat="1" applyFont="1">
      <alignment/>
      <protection/>
    </xf>
    <xf numFmtId="174" fontId="0" fillId="0" borderId="0" xfId="80" applyNumberFormat="1" applyFont="1" applyFill="1">
      <alignment/>
      <protection/>
    </xf>
    <xf numFmtId="0" fontId="0" fillId="0" borderId="0" xfId="80" applyFont="1">
      <alignment/>
      <protection/>
    </xf>
    <xf numFmtId="0" fontId="0" fillId="0" borderId="12" xfId="79" applyFont="1" applyBorder="1" applyAlignment="1">
      <alignment vertical="center" wrapText="1"/>
      <protection/>
    </xf>
    <xf numFmtId="0" fontId="0" fillId="34" borderId="12" xfId="79" applyFont="1" applyFill="1" applyBorder="1" applyAlignment="1">
      <alignment horizontal="justify" vertical="center" wrapText="1"/>
      <protection/>
    </xf>
    <xf numFmtId="0" fontId="0" fillId="0" borderId="12" xfId="80" applyFont="1" applyFill="1" applyBorder="1" applyAlignment="1">
      <alignment horizontal="justify" vertical="center" wrapText="1"/>
      <protection/>
    </xf>
    <xf numFmtId="1" fontId="0" fillId="0" borderId="0" xfId="80" applyNumberFormat="1" applyFont="1" applyFill="1">
      <alignment/>
      <protection/>
    </xf>
    <xf numFmtId="3" fontId="0" fillId="0" borderId="0" xfId="80" applyNumberFormat="1" applyFont="1" applyFill="1">
      <alignment/>
      <protection/>
    </xf>
    <xf numFmtId="0" fontId="0" fillId="0" borderId="22" xfId="77" applyFont="1" applyBorder="1">
      <alignment/>
      <protection/>
    </xf>
    <xf numFmtId="0" fontId="0" fillId="0" borderId="0" xfId="77" applyFont="1">
      <alignment/>
      <protection/>
    </xf>
    <xf numFmtId="0" fontId="0" fillId="0" borderId="0" xfId="80" applyFont="1" applyAlignment="1">
      <alignment horizontal="left"/>
      <protection/>
    </xf>
    <xf numFmtId="0" fontId="0" fillId="0" borderId="0" xfId="81" applyFont="1" applyBorder="1">
      <alignment/>
      <protection/>
    </xf>
    <xf numFmtId="0" fontId="37" fillId="0" borderId="0" xfId="80" applyFont="1">
      <alignment/>
      <protection/>
    </xf>
    <xf numFmtId="1" fontId="37" fillId="0" borderId="0" xfId="80" applyNumberFormat="1" applyFont="1">
      <alignment/>
      <protection/>
    </xf>
    <xf numFmtId="1" fontId="0" fillId="0" borderId="0" xfId="80" applyNumberFormat="1" applyFont="1">
      <alignment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13" fillId="0" borderId="12" xfId="69" applyNumberFormat="1" applyFont="1" applyBorder="1" applyAlignment="1">
      <alignment vertical="center" wrapText="1"/>
      <protection/>
    </xf>
    <xf numFmtId="174" fontId="13" fillId="0" borderId="12" xfId="69" applyNumberFormat="1" applyFont="1" applyBorder="1" applyAlignment="1">
      <alignment vertical="top"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wrapText="1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justify" vertical="top" wrapText="1"/>
    </xf>
    <xf numFmtId="2" fontId="14" fillId="0" borderId="12" xfId="69" applyNumberFormat="1" applyFont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69" applyNumberFormat="1" applyFont="1" applyBorder="1" applyAlignment="1" applyProtection="1">
      <alignment horizontal="center" vertical="center"/>
      <protection locked="0"/>
    </xf>
    <xf numFmtId="174" fontId="14" fillId="0" borderId="12" xfId="69" applyNumberFormat="1" applyFont="1" applyBorder="1" applyAlignment="1">
      <alignment vertical="top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74" fontId="14" fillId="0" borderId="12" xfId="0" applyNumberFormat="1" applyFont="1" applyBorder="1" applyAlignment="1">
      <alignment vertical="justify" wrapText="1"/>
    </xf>
    <xf numFmtId="4" fontId="13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5" fillId="34" borderId="12" xfId="0" applyFont="1" applyFill="1" applyBorder="1" applyAlignment="1">
      <alignment horizontal="left" vertical="center" wrapText="1"/>
    </xf>
    <xf numFmtId="2" fontId="41" fillId="0" borderId="12" xfId="0" applyNumberFormat="1" applyFont="1" applyBorder="1" applyAlignment="1">
      <alignment vertical="top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49" fontId="6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2" fontId="42" fillId="0" borderId="12" xfId="0" applyNumberFormat="1" applyFont="1" applyBorder="1" applyAlignment="1">
      <alignment vertical="top" wrapText="1"/>
    </xf>
    <xf numFmtId="2" fontId="43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" fontId="42" fillId="0" borderId="12" xfId="0" applyNumberFormat="1" applyFont="1" applyBorder="1" applyAlignment="1" applyProtection="1">
      <alignment horizontal="right" vertical="center"/>
      <protection/>
    </xf>
    <xf numFmtId="172" fontId="0" fillId="0" borderId="0" xfId="91" applyFont="1" applyFill="1" applyAlignment="1" applyProtection="1">
      <alignment vertical="top"/>
      <protection/>
    </xf>
    <xf numFmtId="0" fontId="0" fillId="0" borderId="12" xfId="79" applyFont="1" applyFill="1" applyBorder="1" applyAlignment="1">
      <alignment horizontal="justify" vertical="center" wrapText="1"/>
      <protection/>
    </xf>
    <xf numFmtId="4" fontId="0" fillId="0" borderId="12" xfId="82" applyNumberFormat="1" applyFont="1" applyFill="1" applyBorder="1" applyAlignment="1">
      <alignment horizontal="center" vertical="center" wrapText="1"/>
      <protection/>
    </xf>
    <xf numFmtId="4" fontId="0" fillId="0" borderId="12" xfId="80" applyNumberFormat="1" applyFont="1" applyFill="1" applyBorder="1" applyAlignment="1">
      <alignment horizontal="center" vertical="center"/>
      <protection/>
    </xf>
    <xf numFmtId="4" fontId="14" fillId="0" borderId="12" xfId="80" applyNumberFormat="1" applyFont="1" applyFill="1" applyBorder="1" applyAlignment="1">
      <alignment horizontal="center" vertical="center"/>
      <protection/>
    </xf>
    <xf numFmtId="4" fontId="4" fillId="0" borderId="12" xfId="80" applyNumberFormat="1" applyFont="1" applyFill="1" applyBorder="1" applyAlignment="1">
      <alignment horizont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0" xfId="77" applyFont="1" applyAlignment="1">
      <alignment horizontal="left"/>
      <protection/>
    </xf>
    <xf numFmtId="0" fontId="0" fillId="0" borderId="0" xfId="0" applyAlignment="1">
      <alignment horizontal="left"/>
    </xf>
    <xf numFmtId="2" fontId="14" fillId="0" borderId="25" xfId="77" applyNumberFormat="1" applyFont="1" applyBorder="1" applyAlignment="1">
      <alignment horizontal="center" vertical="center" wrapText="1"/>
      <protection/>
    </xf>
    <xf numFmtId="2" fontId="14" fillId="0" borderId="26" xfId="77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2" fontId="14" fillId="0" borderId="28" xfId="77" applyNumberFormat="1" applyFont="1" applyBorder="1" applyAlignment="1">
      <alignment horizontal="center" vertical="center" wrapText="1"/>
      <protection/>
    </xf>
    <xf numFmtId="2" fontId="14" fillId="0" borderId="29" xfId="77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4" fillId="0" borderId="16" xfId="77" applyFont="1" applyBorder="1" applyAlignment="1">
      <alignment horizontal="center" vertical="center" wrapText="1"/>
      <protection/>
    </xf>
    <xf numFmtId="0" fontId="14" fillId="0" borderId="31" xfId="7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4" fillId="0" borderId="16" xfId="77" applyNumberFormat="1" applyFont="1" applyBorder="1" applyAlignment="1">
      <alignment horizontal="center" vertical="center" wrapText="1"/>
      <protection/>
    </xf>
    <xf numFmtId="2" fontId="14" fillId="0" borderId="31" xfId="77" applyNumberFormat="1" applyFont="1" applyBorder="1" applyAlignment="1">
      <alignment horizontal="center" vertical="center" wrapText="1"/>
      <protection/>
    </xf>
    <xf numFmtId="0" fontId="13" fillId="0" borderId="15" xfId="77" applyFont="1" applyBorder="1" applyAlignment="1">
      <alignment horizontal="left" vertical="center" wrapText="1" shrinkToFit="1"/>
      <protection/>
    </xf>
    <xf numFmtId="0" fontId="13" fillId="0" borderId="15" xfId="77" applyFont="1" applyBorder="1" applyAlignment="1">
      <alignment horizontal="left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77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34" borderId="2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0" xfId="77" applyFont="1" applyAlignment="1">
      <alignment horizontal="left"/>
      <protection/>
    </xf>
    <xf numFmtId="0" fontId="2" fillId="0" borderId="0" xfId="0" applyFont="1" applyAlignment="1">
      <alignment horizontal="left"/>
    </xf>
    <xf numFmtId="49" fontId="25" fillId="0" borderId="0" xfId="0" applyNumberFormat="1" applyFont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35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29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77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80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80" applyFont="1" applyFill="1" applyAlignment="1">
      <alignment horizontal="center" wrapText="1"/>
      <protection/>
    </xf>
    <xf numFmtId="0" fontId="4" fillId="0" borderId="0" xfId="80" applyFont="1" applyAlignment="1">
      <alignment horizontal="center" wrapText="1"/>
      <protection/>
    </xf>
    <xf numFmtId="0" fontId="0" fillId="0" borderId="32" xfId="80" applyFont="1" applyBorder="1" applyAlignment="1">
      <alignment horizontal="center" vertical="center" wrapText="1"/>
      <protection/>
    </xf>
    <xf numFmtId="0" fontId="0" fillId="0" borderId="33" xfId="80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80" applyFont="1" applyFill="1" applyBorder="1" applyAlignment="1">
      <alignment horizontal="center"/>
      <protection/>
    </xf>
    <xf numFmtId="0" fontId="4" fillId="0" borderId="24" xfId="80" applyFont="1" applyFill="1" applyBorder="1" applyAlignment="1">
      <alignment horizontal="center"/>
      <protection/>
    </xf>
    <xf numFmtId="0" fontId="0" fillId="0" borderId="0" xfId="75" applyNumberFormat="1" applyFont="1" applyFill="1" applyBorder="1" applyAlignment="1" applyProtection="1">
      <alignment horizontal="left" vertical="center" wrapText="1"/>
      <protection/>
    </xf>
    <xf numFmtId="0" fontId="19" fillId="0" borderId="0" xfId="75" applyNumberFormat="1" applyFont="1" applyFill="1" applyAlignment="1" applyProtection="1">
      <alignment horizontal="left" vertical="top"/>
      <protection/>
    </xf>
    <xf numFmtId="0" fontId="2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center" wrapText="1"/>
      <protection/>
    </xf>
    <xf numFmtId="0" fontId="3" fillId="0" borderId="0" xfId="75" applyFont="1" applyAlignment="1">
      <alignment horizontal="center"/>
      <protection/>
    </xf>
    <xf numFmtId="0" fontId="2" fillId="0" borderId="32" xfId="75" applyFont="1" applyBorder="1" applyAlignment="1">
      <alignment horizontal="center" vertical="center" wrapText="1"/>
      <protection/>
    </xf>
    <xf numFmtId="0" fontId="2" fillId="0" borderId="33" xfId="75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3 2" xfId="76"/>
    <cellStyle name="Обычный 4" xfId="77"/>
    <cellStyle name="Обычный_14_dod 1 - 31.12.15" xfId="78"/>
    <cellStyle name="Обычный_DOD Сесія" xfId="79"/>
    <cellStyle name="Обычный_dod_2017" xfId="80"/>
    <cellStyle name="Обычный_dodатки_2015_вересень" xfId="81"/>
    <cellStyle name="Обычный_Сеся15.08.08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29"/>
  <sheetViews>
    <sheetView view="pageBreakPreview" zoomScaleSheetLayoutView="100" zoomScalePageLayoutView="0" workbookViewId="0" topLeftCell="A1">
      <selection activeCell="A2" sqref="A2:F2"/>
    </sheetView>
  </sheetViews>
  <sheetFormatPr defaultColWidth="9.33203125" defaultRowHeight="12.75"/>
  <cols>
    <col min="1" max="1" width="15.66015625" style="91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7.25" customHeight="1">
      <c r="A1" s="55"/>
      <c r="B1" s="17"/>
      <c r="C1" s="17"/>
      <c r="D1" s="283" t="s">
        <v>421</v>
      </c>
      <c r="E1" s="283"/>
      <c r="F1" s="283"/>
      <c r="G1" s="283"/>
    </row>
    <row r="2" spans="1:7" ht="18" customHeight="1">
      <c r="A2" s="284" t="s">
        <v>133</v>
      </c>
      <c r="B2" s="285"/>
      <c r="C2" s="285"/>
      <c r="D2" s="285"/>
      <c r="E2" s="285"/>
      <c r="F2" s="285"/>
      <c r="G2" s="3"/>
    </row>
    <row r="3" spans="1:7" s="54" customFormat="1" ht="12.75">
      <c r="A3" s="55"/>
      <c r="B3" s="30"/>
      <c r="C3" s="30"/>
      <c r="D3" s="56"/>
      <c r="E3" s="56"/>
      <c r="F3" s="56"/>
      <c r="G3" s="57" t="s">
        <v>72</v>
      </c>
    </row>
    <row r="4" spans="1:7" s="54" customFormat="1" ht="12.75" hidden="1">
      <c r="A4" s="55"/>
      <c r="B4" s="30"/>
      <c r="C4" s="30"/>
      <c r="D4" s="56"/>
      <c r="E4" s="56"/>
      <c r="F4" s="56"/>
      <c r="G4" s="56"/>
    </row>
    <row r="5" spans="1:7" s="54" customFormat="1" ht="12.75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4" t="s">
        <v>122</v>
      </c>
      <c r="B6" s="294" t="s">
        <v>134</v>
      </c>
      <c r="C6" s="294" t="s">
        <v>0</v>
      </c>
      <c r="D6" s="297" t="s">
        <v>1</v>
      </c>
      <c r="E6" s="288" t="s">
        <v>2</v>
      </c>
      <c r="F6" s="289"/>
      <c r="G6" s="290"/>
    </row>
    <row r="7" spans="1:7" s="54" customFormat="1" ht="18.75" customHeight="1">
      <c r="A7" s="295"/>
      <c r="B7" s="295"/>
      <c r="C7" s="295"/>
      <c r="D7" s="298"/>
      <c r="E7" s="291"/>
      <c r="F7" s="292"/>
      <c r="G7" s="293"/>
    </row>
    <row r="8" spans="1:7" s="54" customFormat="1" ht="24" customHeight="1">
      <c r="A8" s="296"/>
      <c r="B8" s="296"/>
      <c r="C8" s="296"/>
      <c r="D8" s="296"/>
      <c r="E8" s="58" t="s">
        <v>0</v>
      </c>
      <c r="F8" s="58"/>
      <c r="G8" s="58" t="s">
        <v>135</v>
      </c>
    </row>
    <row r="9" spans="1:7" s="54" customFormat="1" ht="12.75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t="12.75" hidden="1">
      <c r="A10" s="59"/>
      <c r="B10" s="60"/>
      <c r="C10" s="60"/>
      <c r="D10" s="59"/>
      <c r="E10" s="59"/>
      <c r="F10" s="59"/>
      <c r="G10" s="59"/>
    </row>
    <row r="11" spans="1:7" s="54" customFormat="1" ht="12.75">
      <c r="A11" s="61">
        <v>10000000</v>
      </c>
      <c r="B11" s="62" t="s">
        <v>136</v>
      </c>
      <c r="C11" s="63">
        <f aca="true" t="shared" si="0" ref="C11:C46">D11+E11</f>
        <v>59779300</v>
      </c>
      <c r="D11" s="64">
        <f>D12+D22+D27+D31+D51</f>
        <v>59779300</v>
      </c>
      <c r="E11" s="64">
        <f>E12+E22+E27+E31+E51</f>
        <v>0</v>
      </c>
      <c r="F11" s="64" t="e">
        <f>F12+#REF!+#REF!+F37+F54+#REF!+F74</f>
        <v>#REF!</v>
      </c>
      <c r="G11" s="64">
        <f>G12+G22+G27+G31+G51</f>
        <v>0</v>
      </c>
    </row>
    <row r="12" spans="1:7" s="54" customFormat="1" ht="25.5">
      <c r="A12" s="65">
        <v>11000000</v>
      </c>
      <c r="B12" s="66" t="s">
        <v>137</v>
      </c>
      <c r="C12" s="63">
        <f t="shared" si="0"/>
        <v>33537700</v>
      </c>
      <c r="D12" s="58">
        <f>D19+D13</f>
        <v>33537700</v>
      </c>
      <c r="E12" s="67">
        <f>E19</f>
        <v>0</v>
      </c>
      <c r="F12" s="58"/>
      <c r="G12" s="67">
        <f>G19</f>
        <v>0</v>
      </c>
    </row>
    <row r="13" spans="1:7" s="54" customFormat="1" ht="12.75">
      <c r="A13" s="68">
        <v>11010000</v>
      </c>
      <c r="B13" s="69" t="s">
        <v>138</v>
      </c>
      <c r="C13" s="63">
        <f t="shared" si="0"/>
        <v>33529700</v>
      </c>
      <c r="D13" s="70">
        <f>SUM(D14:D18)</f>
        <v>33529700</v>
      </c>
      <c r="E13" s="67">
        <f>SUM(E14:E18)</f>
        <v>0</v>
      </c>
      <c r="F13" s="67">
        <f>SUM(F14:F18)</f>
        <v>550000</v>
      </c>
      <c r="G13" s="67">
        <f>SUM(G14:G18)</f>
        <v>0</v>
      </c>
    </row>
    <row r="14" spans="1:7" s="54" customFormat="1" ht="38.25">
      <c r="A14" s="71">
        <v>11010100</v>
      </c>
      <c r="B14" s="72" t="s">
        <v>139</v>
      </c>
      <c r="C14" s="63">
        <f t="shared" si="0"/>
        <v>30179700</v>
      </c>
      <c r="D14" s="73">
        <f>24650000+300000+379700+2000000+1050000+1800000</f>
        <v>30179700</v>
      </c>
      <c r="E14" s="58">
        <v>0</v>
      </c>
      <c r="F14" s="58"/>
      <c r="G14" s="58">
        <v>0</v>
      </c>
    </row>
    <row r="15" spans="1:7" s="54" customFormat="1" ht="63.75">
      <c r="A15" s="71">
        <v>11010200</v>
      </c>
      <c r="B15" s="72" t="s">
        <v>140</v>
      </c>
      <c r="C15" s="63">
        <f t="shared" si="0"/>
        <v>550000</v>
      </c>
      <c r="D15" s="73">
        <v>550000</v>
      </c>
      <c r="E15" s="58">
        <v>0</v>
      </c>
      <c r="F15" s="58">
        <f>SUM(D15:E15)</f>
        <v>550000</v>
      </c>
      <c r="G15" s="58">
        <v>0</v>
      </c>
    </row>
    <row r="16" spans="1:7" s="54" customFormat="1" ht="38.25">
      <c r="A16" s="71">
        <v>11010400</v>
      </c>
      <c r="B16" s="72" t="s">
        <v>141</v>
      </c>
      <c r="C16" s="63">
        <f t="shared" si="0"/>
        <v>2000000</v>
      </c>
      <c r="D16" s="73">
        <v>2000000</v>
      </c>
      <c r="E16" s="58">
        <v>0</v>
      </c>
      <c r="F16" s="58"/>
      <c r="G16" s="58">
        <v>0</v>
      </c>
    </row>
    <row r="17" spans="1:7" s="54" customFormat="1" ht="38.25">
      <c r="A17" s="71">
        <v>11010500</v>
      </c>
      <c r="B17" s="72" t="s">
        <v>142</v>
      </c>
      <c r="C17" s="63">
        <f t="shared" si="0"/>
        <v>700000</v>
      </c>
      <c r="D17" s="73">
        <v>700000</v>
      </c>
      <c r="E17" s="58">
        <v>0</v>
      </c>
      <c r="F17" s="58"/>
      <c r="G17" s="58">
        <v>0</v>
      </c>
    </row>
    <row r="18" spans="1:7" s="54" customFormat="1" ht="63.75">
      <c r="A18" s="71">
        <v>11010900</v>
      </c>
      <c r="B18" s="72" t="s">
        <v>143</v>
      </c>
      <c r="C18" s="63">
        <f t="shared" si="0"/>
        <v>100000</v>
      </c>
      <c r="D18" s="73">
        <v>100000</v>
      </c>
      <c r="E18" s="58">
        <v>0</v>
      </c>
      <c r="F18" s="58"/>
      <c r="G18" s="58">
        <v>0</v>
      </c>
    </row>
    <row r="19" spans="1:7" s="54" customFormat="1" ht="18" customHeight="1">
      <c r="A19" s="74">
        <v>11020000</v>
      </c>
      <c r="B19" s="75" t="s">
        <v>144</v>
      </c>
      <c r="C19" s="63">
        <f t="shared" si="0"/>
        <v>8000</v>
      </c>
      <c r="D19" s="58">
        <f>D20</f>
        <v>8000</v>
      </c>
      <c r="E19" s="58">
        <f>E20</f>
        <v>0</v>
      </c>
      <c r="F19" s="58"/>
      <c r="G19" s="58">
        <v>0</v>
      </c>
    </row>
    <row r="20" spans="1:7" s="54" customFormat="1" ht="25.5">
      <c r="A20" s="76">
        <v>11020200</v>
      </c>
      <c r="B20" s="77" t="s">
        <v>145</v>
      </c>
      <c r="C20" s="63">
        <f t="shared" si="0"/>
        <v>8000</v>
      </c>
      <c r="D20" s="58">
        <f>4000+4000</f>
        <v>8000</v>
      </c>
      <c r="E20" s="58">
        <v>0</v>
      </c>
      <c r="F20" s="58"/>
      <c r="G20" s="58">
        <v>0</v>
      </c>
    </row>
    <row r="21" spans="1:7" s="54" customFormat="1" ht="15.75" customHeight="1" hidden="1">
      <c r="A21" s="76">
        <v>12000000</v>
      </c>
      <c r="B21" s="77" t="s">
        <v>146</v>
      </c>
      <c r="C21" s="63">
        <f t="shared" si="0"/>
        <v>0</v>
      </c>
      <c r="D21" s="58">
        <v>0</v>
      </c>
      <c r="E21" s="58">
        <v>0</v>
      </c>
      <c r="F21" s="58"/>
      <c r="G21" s="58">
        <f>D21</f>
        <v>0</v>
      </c>
    </row>
    <row r="22" spans="1:7" s="54" customFormat="1" ht="25.5">
      <c r="A22" s="76">
        <v>13000000</v>
      </c>
      <c r="B22" s="77" t="s">
        <v>147</v>
      </c>
      <c r="C22" s="63">
        <f t="shared" si="0"/>
        <v>1618000</v>
      </c>
      <c r="D22" s="58">
        <f>D23+D25</f>
        <v>1618000</v>
      </c>
      <c r="E22" s="58">
        <f>E23+E25</f>
        <v>0</v>
      </c>
      <c r="F22" s="58">
        <f>F23+F25</f>
        <v>0</v>
      </c>
      <c r="G22" s="58">
        <f>G23+G25</f>
        <v>0</v>
      </c>
    </row>
    <row r="23" spans="1:7" s="54" customFormat="1" ht="25.5">
      <c r="A23" s="76">
        <v>13010000</v>
      </c>
      <c r="B23" s="77" t="s">
        <v>148</v>
      </c>
      <c r="C23" s="63">
        <f t="shared" si="0"/>
        <v>1585000</v>
      </c>
      <c r="D23" s="58">
        <f>D24</f>
        <v>1585000</v>
      </c>
      <c r="E23" s="58">
        <f>E24</f>
        <v>0</v>
      </c>
      <c r="F23" s="58"/>
      <c r="G23" s="58">
        <v>0</v>
      </c>
    </row>
    <row r="24" spans="1:7" s="54" customFormat="1" ht="51">
      <c r="A24" s="76">
        <v>13010200</v>
      </c>
      <c r="B24" s="77" t="s">
        <v>149</v>
      </c>
      <c r="C24" s="63">
        <f t="shared" si="0"/>
        <v>1585000</v>
      </c>
      <c r="D24" s="58">
        <f>1565000+20000</f>
        <v>1585000</v>
      </c>
      <c r="E24" s="58">
        <v>0</v>
      </c>
      <c r="F24" s="58"/>
      <c r="G24" s="58">
        <v>0</v>
      </c>
    </row>
    <row r="25" spans="1:7" s="54" customFormat="1" ht="12.75">
      <c r="A25" s="76">
        <v>13030000</v>
      </c>
      <c r="B25" s="77" t="s">
        <v>291</v>
      </c>
      <c r="C25" s="63">
        <f t="shared" si="0"/>
        <v>33000</v>
      </c>
      <c r="D25" s="58">
        <f>D26</f>
        <v>33000</v>
      </c>
      <c r="E25" s="58">
        <f>E26</f>
        <v>0</v>
      </c>
      <c r="F25" s="58">
        <f>F26</f>
        <v>0</v>
      </c>
      <c r="G25" s="58">
        <f>G26</f>
        <v>0</v>
      </c>
    </row>
    <row r="26" spans="1:7" s="54" customFormat="1" ht="25.5">
      <c r="A26" s="76">
        <v>13030200</v>
      </c>
      <c r="B26" s="77" t="s">
        <v>290</v>
      </c>
      <c r="C26" s="63">
        <f t="shared" si="0"/>
        <v>33000</v>
      </c>
      <c r="D26" s="58">
        <v>33000</v>
      </c>
      <c r="E26" s="58">
        <v>0</v>
      </c>
      <c r="F26" s="58"/>
      <c r="G26" s="58">
        <v>0</v>
      </c>
    </row>
    <row r="27" spans="1:7" s="54" customFormat="1" ht="18" customHeight="1">
      <c r="A27" s="76">
        <v>14000000</v>
      </c>
      <c r="B27" s="77" t="s">
        <v>150</v>
      </c>
      <c r="C27" s="63">
        <f t="shared" si="0"/>
        <v>7490000</v>
      </c>
      <c r="D27" s="58">
        <f>D30+D29+D28</f>
        <v>7490000</v>
      </c>
      <c r="E27" s="58">
        <f>E30</f>
        <v>0</v>
      </c>
      <c r="F27" s="58"/>
      <c r="G27" s="58">
        <v>0</v>
      </c>
    </row>
    <row r="28" spans="1:7" s="54" customFormat="1" ht="24.75" customHeight="1">
      <c r="A28" s="76">
        <v>14020000</v>
      </c>
      <c r="B28" s="77" t="s">
        <v>280</v>
      </c>
      <c r="C28" s="63">
        <f t="shared" si="0"/>
        <v>1000000</v>
      </c>
      <c r="D28" s="58">
        <f>2000000-1000000</f>
        <v>1000000</v>
      </c>
      <c r="E28" s="58">
        <v>0</v>
      </c>
      <c r="F28" s="58"/>
      <c r="G28" s="58">
        <v>0</v>
      </c>
    </row>
    <row r="29" spans="1:7" s="54" customFormat="1" ht="29.25" customHeight="1">
      <c r="A29" s="76">
        <v>14030000</v>
      </c>
      <c r="B29" s="77" t="s">
        <v>279</v>
      </c>
      <c r="C29" s="63">
        <f t="shared" si="0"/>
        <v>3500000</v>
      </c>
      <c r="D29" s="58">
        <f>4000000-500000</f>
        <v>3500000</v>
      </c>
      <c r="E29" s="58">
        <v>0</v>
      </c>
      <c r="F29" s="58"/>
      <c r="G29" s="58">
        <v>0</v>
      </c>
    </row>
    <row r="30" spans="1:7" s="54" customFormat="1" ht="25.5">
      <c r="A30" s="76">
        <v>14040000</v>
      </c>
      <c r="B30" s="77" t="s">
        <v>151</v>
      </c>
      <c r="C30" s="63">
        <f t="shared" si="0"/>
        <v>2990000</v>
      </c>
      <c r="D30" s="58">
        <f>3490000-500000</f>
        <v>2990000</v>
      </c>
      <c r="E30" s="58">
        <v>0</v>
      </c>
      <c r="F30" s="58"/>
      <c r="G30" s="58">
        <v>0</v>
      </c>
    </row>
    <row r="31" spans="1:7" s="54" customFormat="1" ht="17.25" customHeight="1">
      <c r="A31" s="61">
        <v>18000000</v>
      </c>
      <c r="B31" s="78" t="s">
        <v>152</v>
      </c>
      <c r="C31" s="63">
        <f t="shared" si="0"/>
        <v>17133600</v>
      </c>
      <c r="D31" s="67">
        <f>D32+D46+D43</f>
        <v>17133600</v>
      </c>
      <c r="E31" s="67">
        <f>E32+E46</f>
        <v>0</v>
      </c>
      <c r="F31" s="67"/>
      <c r="G31" s="67">
        <v>0</v>
      </c>
    </row>
    <row r="32" spans="1:7" s="54" customFormat="1" ht="12.75">
      <c r="A32" s="76">
        <v>18010000</v>
      </c>
      <c r="B32" s="77" t="s">
        <v>153</v>
      </c>
      <c r="C32" s="63">
        <f t="shared" si="0"/>
        <v>6598100</v>
      </c>
      <c r="D32" s="58">
        <f>D33+D34+D35+D36+D37+D38+D39+D40+D41+D42</f>
        <v>6598100</v>
      </c>
      <c r="E32" s="58">
        <f>E33+E34+E35+E36+E37+E38+E39+E40+E41+E42</f>
        <v>0</v>
      </c>
      <c r="F32" s="58"/>
      <c r="G32" s="58">
        <v>0</v>
      </c>
    </row>
    <row r="33" spans="1:7" s="54" customFormat="1" ht="38.25">
      <c r="A33" s="76">
        <v>18010100</v>
      </c>
      <c r="B33" s="77" t="s">
        <v>154</v>
      </c>
      <c r="C33" s="63">
        <f t="shared" si="0"/>
        <v>105000</v>
      </c>
      <c r="D33" s="58">
        <f>100000+5000</f>
        <v>105000</v>
      </c>
      <c r="E33" s="58">
        <v>0</v>
      </c>
      <c r="F33" s="58"/>
      <c r="G33" s="58">
        <v>0</v>
      </c>
    </row>
    <row r="34" spans="1:7" s="54" customFormat="1" ht="38.25">
      <c r="A34" s="76">
        <v>18010200</v>
      </c>
      <c r="B34" s="77" t="s">
        <v>155</v>
      </c>
      <c r="C34" s="63">
        <f t="shared" si="0"/>
        <v>205000</v>
      </c>
      <c r="D34" s="58">
        <f>200000+5000</f>
        <v>205000</v>
      </c>
      <c r="E34" s="58">
        <v>0</v>
      </c>
      <c r="F34" s="58"/>
      <c r="G34" s="58">
        <v>0</v>
      </c>
    </row>
    <row r="35" spans="1:7" s="54" customFormat="1" ht="38.25">
      <c r="A35" s="76">
        <v>18010300</v>
      </c>
      <c r="B35" s="77" t="s">
        <v>156</v>
      </c>
      <c r="C35" s="63">
        <f t="shared" si="0"/>
        <v>352000</v>
      </c>
      <c r="D35" s="58">
        <f>326000+26000</f>
        <v>352000</v>
      </c>
      <c r="E35" s="58">
        <v>0</v>
      </c>
      <c r="F35" s="58"/>
      <c r="G35" s="58">
        <v>0</v>
      </c>
    </row>
    <row r="36" spans="1:7" s="54" customFormat="1" ht="38.25">
      <c r="A36" s="76">
        <v>18010400</v>
      </c>
      <c r="B36" s="77" t="s">
        <v>157</v>
      </c>
      <c r="C36" s="63">
        <f t="shared" si="0"/>
        <v>587000</v>
      </c>
      <c r="D36" s="58">
        <f>555000+32000</f>
        <v>587000</v>
      </c>
      <c r="E36" s="58">
        <v>0</v>
      </c>
      <c r="F36" s="58"/>
      <c r="G36" s="58">
        <v>0</v>
      </c>
    </row>
    <row r="37" spans="1:7" s="54" customFormat="1" ht="12.75">
      <c r="A37" s="76">
        <v>18010500</v>
      </c>
      <c r="B37" s="77" t="s">
        <v>158</v>
      </c>
      <c r="C37" s="63">
        <f t="shared" si="0"/>
        <v>1577000</v>
      </c>
      <c r="D37" s="58">
        <f>1367000+210000</f>
        <v>1577000</v>
      </c>
      <c r="E37" s="58">
        <v>0</v>
      </c>
      <c r="F37" s="67"/>
      <c r="G37" s="58">
        <v>0</v>
      </c>
    </row>
    <row r="38" spans="1:7" s="54" customFormat="1" ht="12.75">
      <c r="A38" s="76">
        <v>18010600</v>
      </c>
      <c r="B38" s="77" t="s">
        <v>159</v>
      </c>
      <c r="C38" s="63">
        <f t="shared" si="0"/>
        <v>2284700</v>
      </c>
      <c r="D38" s="58">
        <f>2254700+30000</f>
        <v>2284700</v>
      </c>
      <c r="E38" s="58">
        <v>0</v>
      </c>
      <c r="F38" s="58"/>
      <c r="G38" s="58">
        <v>0</v>
      </c>
    </row>
    <row r="39" spans="1:7" s="54" customFormat="1" ht="24" customHeight="1">
      <c r="A39" s="76">
        <v>18010700</v>
      </c>
      <c r="B39" s="77" t="s">
        <v>160</v>
      </c>
      <c r="C39" s="63">
        <f t="shared" si="0"/>
        <v>482400</v>
      </c>
      <c r="D39" s="58">
        <f>432400+50000</f>
        <v>482400</v>
      </c>
      <c r="E39" s="58">
        <v>0</v>
      </c>
      <c r="F39" s="58"/>
      <c r="G39" s="58">
        <v>0</v>
      </c>
    </row>
    <row r="40" spans="1:7" s="54" customFormat="1" ht="25.5" customHeight="1">
      <c r="A40" s="76">
        <v>18010900</v>
      </c>
      <c r="B40" s="77" t="s">
        <v>161</v>
      </c>
      <c r="C40" s="63">
        <f t="shared" si="0"/>
        <v>950000</v>
      </c>
      <c r="D40" s="58">
        <f>860000+90000</f>
        <v>950000</v>
      </c>
      <c r="E40" s="58">
        <f>E53</f>
        <v>0</v>
      </c>
      <c r="F40" s="58"/>
      <c r="G40" s="58">
        <v>0</v>
      </c>
    </row>
    <row r="41" spans="1:7" s="54" customFormat="1" ht="24.75" customHeight="1">
      <c r="A41" s="76">
        <v>18011000</v>
      </c>
      <c r="B41" s="77" t="s">
        <v>162</v>
      </c>
      <c r="C41" s="63">
        <f t="shared" si="0"/>
        <v>50000</v>
      </c>
      <c r="D41" s="58">
        <v>50000</v>
      </c>
      <c r="E41" s="58">
        <v>0</v>
      </c>
      <c r="F41" s="58"/>
      <c r="G41" s="58">
        <v>0</v>
      </c>
    </row>
    <row r="42" spans="1:7" s="54" customFormat="1" ht="27" customHeight="1">
      <c r="A42" s="76">
        <v>18011100</v>
      </c>
      <c r="B42" s="77" t="s">
        <v>163</v>
      </c>
      <c r="C42" s="63">
        <f t="shared" si="0"/>
        <v>5000</v>
      </c>
      <c r="D42" s="58">
        <v>5000</v>
      </c>
      <c r="E42" s="58">
        <v>0</v>
      </c>
      <c r="F42" s="58"/>
      <c r="G42" s="58">
        <v>0</v>
      </c>
    </row>
    <row r="43" spans="1:7" s="79" customFormat="1" ht="27" customHeight="1">
      <c r="A43" s="61">
        <v>18030000</v>
      </c>
      <c r="B43" s="78" t="s">
        <v>164</v>
      </c>
      <c r="C43" s="63">
        <f t="shared" si="0"/>
        <v>4000</v>
      </c>
      <c r="D43" s="67">
        <f>D44</f>
        <v>4000</v>
      </c>
      <c r="E43" s="67">
        <f>E44</f>
        <v>0</v>
      </c>
      <c r="F43" s="67"/>
      <c r="G43" s="58">
        <v>0</v>
      </c>
    </row>
    <row r="44" spans="1:7" s="54" customFormat="1" ht="27" customHeight="1">
      <c r="A44" s="76">
        <v>18030200</v>
      </c>
      <c r="B44" s="77" t="s">
        <v>165</v>
      </c>
      <c r="C44" s="63">
        <f t="shared" si="0"/>
        <v>4000</v>
      </c>
      <c r="D44" s="58">
        <v>4000</v>
      </c>
      <c r="E44" s="58">
        <v>0</v>
      </c>
      <c r="F44" s="58"/>
      <c r="G44" s="58">
        <v>0</v>
      </c>
    </row>
    <row r="45" spans="1:7" s="54" customFormat="1" ht="23.25" customHeight="1" hidden="1">
      <c r="A45" s="76"/>
      <c r="B45" s="77"/>
      <c r="C45" s="63">
        <f t="shared" si="0"/>
        <v>0</v>
      </c>
      <c r="D45" s="58"/>
      <c r="E45" s="58"/>
      <c r="F45" s="58"/>
      <c r="G45" s="58"/>
    </row>
    <row r="46" spans="1:7" s="54" customFormat="1" ht="12.75">
      <c r="A46" s="61">
        <v>18050000</v>
      </c>
      <c r="B46" s="78" t="s">
        <v>166</v>
      </c>
      <c r="C46" s="63">
        <f t="shared" si="0"/>
        <v>10531500</v>
      </c>
      <c r="D46" s="67">
        <f>D47+D48+D49</f>
        <v>10531500</v>
      </c>
      <c r="E46" s="67">
        <f>E47+E48</f>
        <v>0</v>
      </c>
      <c r="F46" s="67"/>
      <c r="G46" s="67">
        <v>0</v>
      </c>
    </row>
    <row r="47" spans="1:7" s="54" customFormat="1" ht="12.75">
      <c r="A47" s="76">
        <v>18050300</v>
      </c>
      <c r="B47" s="77" t="s">
        <v>167</v>
      </c>
      <c r="C47" s="63">
        <f aca="true" t="shared" si="1" ref="C47:C82">D47+E47</f>
        <v>2207000</v>
      </c>
      <c r="D47" s="58">
        <f>2000000+35000+120000+52000</f>
        <v>2207000</v>
      </c>
      <c r="E47" s="58">
        <v>0</v>
      </c>
      <c r="F47" s="58"/>
      <c r="G47" s="58">
        <v>0</v>
      </c>
    </row>
    <row r="48" spans="1:7" s="54" customFormat="1" ht="12.75">
      <c r="A48" s="76">
        <v>18050400</v>
      </c>
      <c r="B48" s="77" t="s">
        <v>168</v>
      </c>
      <c r="C48" s="63">
        <f t="shared" si="1"/>
        <v>7924500</v>
      </c>
      <c r="D48" s="58">
        <v>7924500</v>
      </c>
      <c r="E48" s="58">
        <v>0</v>
      </c>
      <c r="F48" s="58"/>
      <c r="G48" s="58">
        <v>0</v>
      </c>
    </row>
    <row r="49" spans="1:7" s="54" customFormat="1" ht="12.75">
      <c r="A49" s="76">
        <v>18050500</v>
      </c>
      <c r="B49" s="77" t="s">
        <v>169</v>
      </c>
      <c r="C49" s="63">
        <f t="shared" si="1"/>
        <v>400000</v>
      </c>
      <c r="D49" s="58">
        <v>400000</v>
      </c>
      <c r="E49" s="58">
        <v>0</v>
      </c>
      <c r="F49" s="58"/>
      <c r="G49" s="58">
        <v>0</v>
      </c>
    </row>
    <row r="50" spans="1:7" s="54" customFormat="1" ht="12.75">
      <c r="A50" s="76"/>
      <c r="B50" s="77"/>
      <c r="C50" s="63">
        <f t="shared" si="1"/>
        <v>0</v>
      </c>
      <c r="D50" s="58"/>
      <c r="E50" s="58"/>
      <c r="F50" s="58"/>
      <c r="G50" s="58"/>
    </row>
    <row r="51" spans="1:7" s="54" customFormat="1" ht="12.75">
      <c r="A51" s="61">
        <v>19000000</v>
      </c>
      <c r="B51" s="78" t="s">
        <v>170</v>
      </c>
      <c r="C51" s="63">
        <f t="shared" si="1"/>
        <v>0</v>
      </c>
      <c r="D51" s="67">
        <f>D52</f>
        <v>0</v>
      </c>
      <c r="E51" s="67">
        <f>E52</f>
        <v>0</v>
      </c>
      <c r="F51" s="67"/>
      <c r="G51" s="67">
        <f>D51+E51</f>
        <v>0</v>
      </c>
    </row>
    <row r="52" spans="1:7" s="54" customFormat="1" ht="12.75">
      <c r="A52" s="76">
        <v>19010000</v>
      </c>
      <c r="B52" s="77" t="s">
        <v>171</v>
      </c>
      <c r="C52" s="63">
        <f t="shared" si="1"/>
        <v>0</v>
      </c>
      <c r="D52" s="58">
        <f>D53+D54+D55</f>
        <v>0</v>
      </c>
      <c r="E52" s="58">
        <f>E53+E54</f>
        <v>0</v>
      </c>
      <c r="F52" s="58"/>
      <c r="G52" s="58">
        <f>D52+E52</f>
        <v>0</v>
      </c>
    </row>
    <row r="53" spans="1:7" s="54" customFormat="1" ht="38.25">
      <c r="A53" s="76">
        <v>19010100</v>
      </c>
      <c r="B53" s="77" t="s">
        <v>172</v>
      </c>
      <c r="C53" s="63">
        <f t="shared" si="1"/>
        <v>0</v>
      </c>
      <c r="D53" s="58">
        <v>0</v>
      </c>
      <c r="E53" s="58">
        <v>0</v>
      </c>
      <c r="F53" s="58"/>
      <c r="G53" s="58">
        <f>D53+E53</f>
        <v>0</v>
      </c>
    </row>
    <row r="54" spans="1:7" s="54" customFormat="1" ht="25.5">
      <c r="A54" s="76">
        <v>19010200</v>
      </c>
      <c r="B54" s="77" t="s">
        <v>173</v>
      </c>
      <c r="C54" s="63">
        <f t="shared" si="1"/>
        <v>0</v>
      </c>
      <c r="D54" s="58">
        <v>0</v>
      </c>
      <c r="E54" s="58">
        <v>0</v>
      </c>
      <c r="F54" s="58"/>
      <c r="G54" s="58">
        <f>D54+E54</f>
        <v>0</v>
      </c>
    </row>
    <row r="55" spans="1:7" s="54" customFormat="1" ht="51">
      <c r="A55" s="76">
        <v>19010300</v>
      </c>
      <c r="B55" s="77" t="s">
        <v>174</v>
      </c>
      <c r="C55" s="63">
        <f t="shared" si="1"/>
        <v>0</v>
      </c>
      <c r="D55" s="58">
        <v>0</v>
      </c>
      <c r="E55" s="58">
        <v>0</v>
      </c>
      <c r="F55" s="58"/>
      <c r="G55" s="58">
        <f>D55+E55</f>
        <v>0</v>
      </c>
    </row>
    <row r="56" spans="1:7" s="54" customFormat="1" ht="12.75">
      <c r="A56" s="61">
        <v>20000000</v>
      </c>
      <c r="B56" s="62" t="s">
        <v>175</v>
      </c>
      <c r="C56" s="63">
        <f t="shared" si="1"/>
        <v>1776934</v>
      </c>
      <c r="D56" s="67">
        <f>D63+D74+D57+D78</f>
        <v>875934</v>
      </c>
      <c r="E56" s="67">
        <f>E63+E74+E57+E78</f>
        <v>901000</v>
      </c>
      <c r="F56" s="67"/>
      <c r="G56" s="67">
        <f>G63+G74+G57+G78</f>
        <v>0</v>
      </c>
    </row>
    <row r="57" spans="1:7" s="54" customFormat="1" ht="12.75">
      <c r="A57" s="76">
        <v>21000000</v>
      </c>
      <c r="B57" s="80" t="s">
        <v>176</v>
      </c>
      <c r="C57" s="63">
        <f t="shared" si="1"/>
        <v>120000</v>
      </c>
      <c r="D57" s="58">
        <f>D58</f>
        <v>120000</v>
      </c>
      <c r="E57" s="58">
        <f>E58+E60+E61</f>
        <v>0</v>
      </c>
      <c r="F57" s="58"/>
      <c r="G57" s="58">
        <v>0</v>
      </c>
    </row>
    <row r="58" spans="1:7" s="54" customFormat="1" ht="12.75">
      <c r="A58" s="61">
        <v>21080000</v>
      </c>
      <c r="B58" s="62" t="s">
        <v>177</v>
      </c>
      <c r="C58" s="63">
        <f t="shared" si="1"/>
        <v>120000</v>
      </c>
      <c r="D58" s="67">
        <f>D59+D60+D61</f>
        <v>120000</v>
      </c>
      <c r="E58" s="67">
        <f>E59</f>
        <v>0</v>
      </c>
      <c r="F58" s="67"/>
      <c r="G58" s="67">
        <f>G59</f>
        <v>0</v>
      </c>
    </row>
    <row r="59" spans="1:7" s="54" customFormat="1" ht="12.75" hidden="1">
      <c r="A59" s="76">
        <v>21080500</v>
      </c>
      <c r="B59" s="80" t="s">
        <v>177</v>
      </c>
      <c r="C59" s="63">
        <f t="shared" si="1"/>
        <v>0</v>
      </c>
      <c r="D59" s="58">
        <v>0</v>
      </c>
      <c r="E59" s="58">
        <v>0</v>
      </c>
      <c r="F59" s="58"/>
      <c r="G59" s="58">
        <v>0</v>
      </c>
    </row>
    <row r="60" spans="1:7" s="54" customFormat="1" ht="12.75">
      <c r="A60" s="76">
        <v>21081100</v>
      </c>
      <c r="B60" s="80" t="s">
        <v>178</v>
      </c>
      <c r="C60" s="63">
        <f t="shared" si="1"/>
        <v>60000</v>
      </c>
      <c r="D60" s="58">
        <f>7000+53000</f>
        <v>60000</v>
      </c>
      <c r="E60" s="58">
        <v>0</v>
      </c>
      <c r="F60" s="58"/>
      <c r="G60" s="58">
        <v>0</v>
      </c>
    </row>
    <row r="61" spans="1:7" s="54" customFormat="1" ht="38.25">
      <c r="A61" s="76">
        <v>21081500</v>
      </c>
      <c r="B61" s="80" t="s">
        <v>179</v>
      </c>
      <c r="C61" s="63">
        <f t="shared" si="1"/>
        <v>60000</v>
      </c>
      <c r="D61" s="58">
        <v>60000</v>
      </c>
      <c r="E61" s="58">
        <v>0</v>
      </c>
      <c r="F61" s="58"/>
      <c r="G61" s="58">
        <v>0</v>
      </c>
    </row>
    <row r="62" spans="1:7" s="54" customFormat="1" ht="12.75" hidden="1">
      <c r="A62" s="61"/>
      <c r="B62" s="62"/>
      <c r="C62" s="63">
        <f t="shared" si="1"/>
        <v>0</v>
      </c>
      <c r="D62" s="67"/>
      <c r="E62" s="67"/>
      <c r="F62" s="67"/>
      <c r="G62" s="67"/>
    </row>
    <row r="63" spans="1:7" s="54" customFormat="1" ht="25.5">
      <c r="A63" s="76">
        <v>22000000</v>
      </c>
      <c r="B63" s="77" t="s">
        <v>180</v>
      </c>
      <c r="C63" s="63">
        <f>D63+E63</f>
        <v>705934</v>
      </c>
      <c r="D63" s="58">
        <f>D70+D65+D69+D64+D66+D67+D68</f>
        <v>705934</v>
      </c>
      <c r="E63" s="58">
        <f>E70+E65+E69+E64+E66+E67+E68</f>
        <v>0</v>
      </c>
      <c r="F63" s="58">
        <f>F70+F65+F69+F64+F66+F67+F68</f>
        <v>0</v>
      </c>
      <c r="G63" s="58">
        <f>G70+G65+G69+G64+G66+G67+G68</f>
        <v>0</v>
      </c>
    </row>
    <row r="64" spans="1:7" s="54" customFormat="1" ht="38.25" hidden="1">
      <c r="A64" s="76">
        <v>22010300</v>
      </c>
      <c r="B64" s="77" t="s">
        <v>221</v>
      </c>
      <c r="C64" s="63">
        <f t="shared" si="1"/>
        <v>0</v>
      </c>
      <c r="D64" s="58">
        <v>0</v>
      </c>
      <c r="E64" s="58">
        <v>0</v>
      </c>
      <c r="F64" s="58"/>
      <c r="G64" s="58">
        <v>0</v>
      </c>
    </row>
    <row r="65" spans="1:7" s="54" customFormat="1" ht="12.75">
      <c r="A65" s="76">
        <v>22012500</v>
      </c>
      <c r="B65" s="77" t="s">
        <v>181</v>
      </c>
      <c r="C65" s="63">
        <f t="shared" si="1"/>
        <v>449934</v>
      </c>
      <c r="D65" s="58">
        <f>368800+10000+53134+18000</f>
        <v>449934</v>
      </c>
      <c r="E65" s="58">
        <v>0</v>
      </c>
      <c r="F65" s="58"/>
      <c r="G65" s="58">
        <v>0</v>
      </c>
    </row>
    <row r="66" spans="1:7" s="54" customFormat="1" ht="38.25">
      <c r="A66" s="76">
        <v>22012600</v>
      </c>
      <c r="B66" s="77" t="s">
        <v>222</v>
      </c>
      <c r="C66" s="63">
        <f t="shared" si="1"/>
        <v>10000</v>
      </c>
      <c r="D66" s="58">
        <v>10000</v>
      </c>
      <c r="E66" s="58">
        <v>0</v>
      </c>
      <c r="F66" s="58"/>
      <c r="G66" s="58">
        <v>0</v>
      </c>
    </row>
    <row r="67" spans="1:7" s="54" customFormat="1" ht="76.5" hidden="1">
      <c r="A67" s="76">
        <v>22012700</v>
      </c>
      <c r="B67" s="77" t="s">
        <v>223</v>
      </c>
      <c r="C67" s="63">
        <f t="shared" si="1"/>
        <v>0</v>
      </c>
      <c r="D67" s="58">
        <v>0</v>
      </c>
      <c r="E67" s="58">
        <v>0</v>
      </c>
      <c r="F67" s="58"/>
      <c r="G67" s="58">
        <v>0</v>
      </c>
    </row>
    <row r="68" spans="1:7" s="54" customFormat="1" ht="63.75">
      <c r="A68" s="76">
        <v>22012900</v>
      </c>
      <c r="B68" s="77" t="s">
        <v>224</v>
      </c>
      <c r="C68" s="63">
        <f t="shared" si="1"/>
        <v>10000</v>
      </c>
      <c r="D68" s="58">
        <v>10000</v>
      </c>
      <c r="E68" s="58">
        <v>0</v>
      </c>
      <c r="F68" s="58"/>
      <c r="G68" s="58">
        <v>0</v>
      </c>
    </row>
    <row r="69" spans="1:7" s="54" customFormat="1" ht="38.25">
      <c r="A69" s="76">
        <v>22080402</v>
      </c>
      <c r="B69" s="77" t="s">
        <v>182</v>
      </c>
      <c r="C69" s="63">
        <f t="shared" si="1"/>
        <v>176000</v>
      </c>
      <c r="D69" s="58">
        <f>106000+70000</f>
        <v>176000</v>
      </c>
      <c r="E69" s="58">
        <v>0</v>
      </c>
      <c r="F69" s="58"/>
      <c r="G69" s="58">
        <v>0</v>
      </c>
    </row>
    <row r="70" spans="1:7" s="54" customFormat="1" ht="12.75">
      <c r="A70" s="61">
        <v>22090000</v>
      </c>
      <c r="B70" s="78" t="s">
        <v>183</v>
      </c>
      <c r="C70" s="63">
        <f t="shared" si="1"/>
        <v>60000</v>
      </c>
      <c r="D70" s="67">
        <f>D71+D72</f>
        <v>60000</v>
      </c>
      <c r="E70" s="67">
        <f>E71+E72</f>
        <v>0</v>
      </c>
      <c r="F70" s="67"/>
      <c r="G70" s="67">
        <f>G71+G72</f>
        <v>0</v>
      </c>
    </row>
    <row r="71" spans="1:7" s="54" customFormat="1" ht="38.25">
      <c r="A71" s="76">
        <v>22090100</v>
      </c>
      <c r="B71" s="77" t="s">
        <v>184</v>
      </c>
      <c r="C71" s="63">
        <f t="shared" si="1"/>
        <v>24000</v>
      </c>
      <c r="D71" s="58">
        <v>24000</v>
      </c>
      <c r="E71" s="58">
        <v>0</v>
      </c>
      <c r="F71" s="58"/>
      <c r="G71" s="58">
        <v>0</v>
      </c>
    </row>
    <row r="72" spans="1:7" s="54" customFormat="1" ht="46.5" customHeight="1">
      <c r="A72" s="76">
        <v>22090400</v>
      </c>
      <c r="B72" s="77" t="s">
        <v>185</v>
      </c>
      <c r="C72" s="63">
        <f t="shared" si="1"/>
        <v>36000</v>
      </c>
      <c r="D72" s="58">
        <v>36000</v>
      </c>
      <c r="E72" s="58">
        <v>0</v>
      </c>
      <c r="F72" s="58"/>
      <c r="G72" s="58">
        <v>0</v>
      </c>
    </row>
    <row r="73" spans="1:7" s="54" customFormat="1" ht="12.75" hidden="1">
      <c r="A73" s="76">
        <v>23000000</v>
      </c>
      <c r="B73" s="77" t="s">
        <v>186</v>
      </c>
      <c r="C73" s="63">
        <f t="shared" si="1"/>
        <v>0</v>
      </c>
      <c r="D73" s="58">
        <v>0</v>
      </c>
      <c r="E73" s="58">
        <v>0</v>
      </c>
      <c r="F73" s="58"/>
      <c r="G73" s="58">
        <f>D73+E73</f>
        <v>0</v>
      </c>
    </row>
    <row r="74" spans="1:7" s="54" customFormat="1" ht="12.75">
      <c r="A74" s="61">
        <v>24000000</v>
      </c>
      <c r="B74" s="78" t="s">
        <v>187</v>
      </c>
      <c r="C74" s="63">
        <f t="shared" si="1"/>
        <v>71000</v>
      </c>
      <c r="D74" s="67">
        <f>D75</f>
        <v>50000</v>
      </c>
      <c r="E74" s="67">
        <f>E75</f>
        <v>21000</v>
      </c>
      <c r="F74" s="67"/>
      <c r="G74" s="67">
        <f>G75</f>
        <v>0</v>
      </c>
    </row>
    <row r="75" spans="1:7" s="54" customFormat="1" ht="12.75">
      <c r="A75" s="76">
        <v>24060000</v>
      </c>
      <c r="B75" s="77" t="s">
        <v>188</v>
      </c>
      <c r="C75" s="63">
        <f t="shared" si="1"/>
        <v>71000</v>
      </c>
      <c r="D75" s="58">
        <f>D77+D76</f>
        <v>50000</v>
      </c>
      <c r="E75" s="58">
        <f>E77+E76</f>
        <v>21000</v>
      </c>
      <c r="F75" s="58"/>
      <c r="G75" s="58">
        <f>G77+G76</f>
        <v>0</v>
      </c>
    </row>
    <row r="76" spans="1:7" s="54" customFormat="1" ht="12.75">
      <c r="A76" s="76">
        <v>24060300</v>
      </c>
      <c r="B76" s="77" t="s">
        <v>177</v>
      </c>
      <c r="C76" s="63">
        <f t="shared" si="1"/>
        <v>50000</v>
      </c>
      <c r="D76" s="58">
        <v>50000</v>
      </c>
      <c r="E76" s="58">
        <v>0</v>
      </c>
      <c r="F76" s="58"/>
      <c r="G76" s="58">
        <v>0</v>
      </c>
    </row>
    <row r="77" spans="1:7" s="54" customFormat="1" ht="51">
      <c r="A77" s="76">
        <v>24062100</v>
      </c>
      <c r="B77" s="77" t="s">
        <v>189</v>
      </c>
      <c r="C77" s="63">
        <f t="shared" si="1"/>
        <v>21000</v>
      </c>
      <c r="D77" s="58">
        <v>0</v>
      </c>
      <c r="E77" s="58">
        <v>21000</v>
      </c>
      <c r="F77" s="58"/>
      <c r="G77" s="58">
        <v>0</v>
      </c>
    </row>
    <row r="78" spans="1:7" s="54" customFormat="1" ht="12.75">
      <c r="A78" s="61">
        <v>25000000</v>
      </c>
      <c r="B78" s="78" t="s">
        <v>190</v>
      </c>
      <c r="C78" s="63">
        <f t="shared" si="1"/>
        <v>880000</v>
      </c>
      <c r="D78" s="67">
        <f>D79</f>
        <v>0</v>
      </c>
      <c r="E78" s="67">
        <f>E79</f>
        <v>880000</v>
      </c>
      <c r="F78" s="67"/>
      <c r="G78" s="67">
        <f>G79</f>
        <v>0</v>
      </c>
    </row>
    <row r="79" spans="1:7" s="54" customFormat="1" ht="25.5">
      <c r="A79" s="76">
        <v>25010100</v>
      </c>
      <c r="B79" s="77" t="s">
        <v>191</v>
      </c>
      <c r="C79" s="63">
        <f t="shared" si="1"/>
        <v>880000</v>
      </c>
      <c r="D79" s="58">
        <v>0</v>
      </c>
      <c r="E79" s="58">
        <v>880000</v>
      </c>
      <c r="F79" s="58"/>
      <c r="G79" s="58">
        <v>0</v>
      </c>
    </row>
    <row r="80" spans="1:7" s="54" customFormat="1" ht="12.75">
      <c r="A80" s="76"/>
      <c r="B80" s="77"/>
      <c r="C80" s="63">
        <f t="shared" si="1"/>
        <v>0</v>
      </c>
      <c r="D80" s="58"/>
      <c r="E80" s="58"/>
      <c r="F80" s="58"/>
      <c r="G80" s="58"/>
    </row>
    <row r="81" spans="1:7" s="54" customFormat="1" ht="12.75">
      <c r="A81" s="61">
        <v>30000000</v>
      </c>
      <c r="B81" s="62" t="s">
        <v>192</v>
      </c>
      <c r="C81" s="63">
        <f>D81+E81</f>
        <v>1260000</v>
      </c>
      <c r="D81" s="67">
        <f>D82+D83+D84+D87</f>
        <v>10000</v>
      </c>
      <c r="E81" s="67">
        <f>E82+E83+E84+E87</f>
        <v>1250000</v>
      </c>
      <c r="F81" s="67">
        <f>F82+F83+F84+F87</f>
        <v>0</v>
      </c>
      <c r="G81" s="67">
        <f>G82+G83+G84+G87</f>
        <v>1250000</v>
      </c>
    </row>
    <row r="82" spans="1:7" s="54" customFormat="1" ht="12.75">
      <c r="A82" s="76">
        <v>31000000</v>
      </c>
      <c r="B82" s="77" t="s">
        <v>193</v>
      </c>
      <c r="C82" s="63">
        <f t="shared" si="1"/>
        <v>0</v>
      </c>
      <c r="D82" s="58">
        <v>0</v>
      </c>
      <c r="E82" s="58">
        <v>0</v>
      </c>
      <c r="F82" s="58"/>
      <c r="G82" s="58">
        <f>D82+E82</f>
        <v>0</v>
      </c>
    </row>
    <row r="83" spans="1:7" s="54" customFormat="1" ht="12.75" hidden="1">
      <c r="A83" s="76">
        <v>32000000</v>
      </c>
      <c r="B83" s="77" t="s">
        <v>194</v>
      </c>
      <c r="C83" s="63">
        <f aca="true" t="shared" si="2" ref="C83:C116">D83+E83</f>
        <v>0</v>
      </c>
      <c r="D83" s="58">
        <v>0</v>
      </c>
      <c r="E83" s="58">
        <v>0</v>
      </c>
      <c r="F83" s="58"/>
      <c r="G83" s="58">
        <f>D83+E83</f>
        <v>0</v>
      </c>
    </row>
    <row r="84" spans="1:7" s="54" customFormat="1" ht="25.5">
      <c r="A84" s="76">
        <v>33000000</v>
      </c>
      <c r="B84" s="77" t="s">
        <v>195</v>
      </c>
      <c r="C84" s="63">
        <f t="shared" si="2"/>
        <v>1250000</v>
      </c>
      <c r="D84" s="58">
        <f>D85</f>
        <v>0</v>
      </c>
      <c r="E84" s="58">
        <f>E85</f>
        <v>1250000</v>
      </c>
      <c r="F84" s="58"/>
      <c r="G84" s="58">
        <f>D84+E84</f>
        <v>1250000</v>
      </c>
    </row>
    <row r="85" spans="1:7" s="54" customFormat="1" ht="12.75">
      <c r="A85" s="76">
        <v>33010000</v>
      </c>
      <c r="B85" s="77" t="s">
        <v>196</v>
      </c>
      <c r="C85" s="63">
        <f t="shared" si="2"/>
        <v>1250000</v>
      </c>
      <c r="D85" s="58">
        <f>D86</f>
        <v>0</v>
      </c>
      <c r="E85" s="58">
        <f>E86</f>
        <v>1250000</v>
      </c>
      <c r="F85" s="58"/>
      <c r="G85" s="58">
        <f>D85+E85</f>
        <v>1250000</v>
      </c>
    </row>
    <row r="86" spans="1:7" s="54" customFormat="1" ht="63.75">
      <c r="A86" s="76">
        <v>33010100</v>
      </c>
      <c r="B86" s="77" t="s">
        <v>197</v>
      </c>
      <c r="C86" s="63">
        <f t="shared" si="2"/>
        <v>1250000</v>
      </c>
      <c r="D86" s="58">
        <v>0</v>
      </c>
      <c r="E86" s="58">
        <v>1250000</v>
      </c>
      <c r="F86" s="58" t="e">
        <f>#REF!+#REF!+F88</f>
        <v>#REF!</v>
      </c>
      <c r="G86" s="58">
        <f>D86+E86</f>
        <v>1250000</v>
      </c>
    </row>
    <row r="87" spans="1:7" s="54" customFormat="1" ht="63.75">
      <c r="A87" s="76">
        <v>33010200</v>
      </c>
      <c r="B87" s="77" t="s">
        <v>289</v>
      </c>
      <c r="C87" s="63">
        <f t="shared" si="2"/>
        <v>10000</v>
      </c>
      <c r="D87" s="58">
        <v>10000</v>
      </c>
      <c r="E87" s="58">
        <v>0</v>
      </c>
      <c r="F87" s="58"/>
      <c r="G87" s="58">
        <v>0</v>
      </c>
    </row>
    <row r="88" spans="1:7" s="54" customFormat="1" ht="12.75">
      <c r="A88" s="61">
        <v>40000000</v>
      </c>
      <c r="B88" s="62" t="s">
        <v>198</v>
      </c>
      <c r="C88" s="63">
        <f t="shared" si="2"/>
        <v>79392380.31</v>
      </c>
      <c r="D88" s="67">
        <f>D96+D107</f>
        <v>77991080.31</v>
      </c>
      <c r="E88" s="67">
        <f>E96</f>
        <v>1401300</v>
      </c>
      <c r="F88" s="67"/>
      <c r="G88" s="67">
        <f>G96</f>
        <v>1401300</v>
      </c>
    </row>
    <row r="89" spans="1:7" s="54" customFormat="1" ht="12.75" hidden="1">
      <c r="A89" s="61"/>
      <c r="B89" s="62"/>
      <c r="C89" s="63">
        <f t="shared" si="2"/>
        <v>0</v>
      </c>
      <c r="D89" s="67"/>
      <c r="E89" s="67"/>
      <c r="F89" s="67"/>
      <c r="G89" s="67"/>
    </row>
    <row r="90" spans="1:7" s="54" customFormat="1" ht="12.75" hidden="1">
      <c r="A90" s="61"/>
      <c r="B90" s="62"/>
      <c r="C90" s="63">
        <f t="shared" si="2"/>
        <v>0</v>
      </c>
      <c r="D90" s="67"/>
      <c r="E90" s="67"/>
      <c r="F90" s="67"/>
      <c r="G90" s="67"/>
    </row>
    <row r="91" spans="1:7" s="54" customFormat="1" ht="12.75" hidden="1">
      <c r="A91" s="61"/>
      <c r="B91" s="62"/>
      <c r="C91" s="63">
        <f t="shared" si="2"/>
        <v>0</v>
      </c>
      <c r="D91" s="67"/>
      <c r="E91" s="67"/>
      <c r="F91" s="67"/>
      <c r="G91" s="67"/>
    </row>
    <row r="92" spans="1:7" s="54" customFormat="1" ht="12.75" hidden="1">
      <c r="A92" s="61"/>
      <c r="B92" s="62"/>
      <c r="C92" s="63">
        <f t="shared" si="2"/>
        <v>0</v>
      </c>
      <c r="D92" s="67"/>
      <c r="E92" s="67"/>
      <c r="F92" s="67"/>
      <c r="G92" s="67"/>
    </row>
    <row r="93" spans="1:7" s="54" customFormat="1" ht="12.75" hidden="1">
      <c r="A93" s="61"/>
      <c r="B93" s="62"/>
      <c r="C93" s="63">
        <f t="shared" si="2"/>
        <v>0</v>
      </c>
      <c r="D93" s="67"/>
      <c r="E93" s="67"/>
      <c r="F93" s="67"/>
      <c r="G93" s="67"/>
    </row>
    <row r="94" spans="1:7" s="54" customFormat="1" ht="12.75" hidden="1">
      <c r="A94" s="61"/>
      <c r="B94" s="62"/>
      <c r="C94" s="63">
        <f t="shared" si="2"/>
        <v>0</v>
      </c>
      <c r="D94" s="67"/>
      <c r="E94" s="67"/>
      <c r="F94" s="67"/>
      <c r="G94" s="67"/>
    </row>
    <row r="95" spans="1:7" s="54" customFormat="1" ht="12.75" hidden="1">
      <c r="A95" s="61"/>
      <c r="B95" s="62"/>
      <c r="C95" s="63">
        <f t="shared" si="2"/>
        <v>0</v>
      </c>
      <c r="D95" s="67"/>
      <c r="E95" s="67"/>
      <c r="F95" s="67"/>
      <c r="G95" s="67"/>
    </row>
    <row r="96" spans="1:7" s="54" customFormat="1" ht="12.75">
      <c r="A96" s="76">
        <v>41000000</v>
      </c>
      <c r="B96" s="77" t="s">
        <v>199</v>
      </c>
      <c r="C96" s="63">
        <f t="shared" si="2"/>
        <v>79392380.31</v>
      </c>
      <c r="D96" s="58">
        <f>D98+D101+D104</f>
        <v>77991080.31</v>
      </c>
      <c r="E96" s="58">
        <f>E98+E101+E104</f>
        <v>1401300</v>
      </c>
      <c r="F96" s="58">
        <f>F98+F101+F104</f>
        <v>0</v>
      </c>
      <c r="G96" s="58">
        <f>G98+G101+G104</f>
        <v>1401300</v>
      </c>
    </row>
    <row r="97" spans="1:7" s="54" customFormat="1" ht="12.75" hidden="1">
      <c r="A97" s="76">
        <v>41010000</v>
      </c>
      <c r="B97" s="77" t="s">
        <v>200</v>
      </c>
      <c r="C97" s="63">
        <f t="shared" si="2"/>
        <v>0</v>
      </c>
      <c r="D97" s="67">
        <v>0</v>
      </c>
      <c r="E97" s="67">
        <v>0</v>
      </c>
      <c r="F97" s="67">
        <v>0</v>
      </c>
      <c r="G97" s="58">
        <f>D97+E97</f>
        <v>0</v>
      </c>
    </row>
    <row r="98" spans="1:7" s="54" customFormat="1" ht="13.5" customHeight="1">
      <c r="A98" s="76">
        <v>41020000</v>
      </c>
      <c r="B98" s="77" t="s">
        <v>201</v>
      </c>
      <c r="C98" s="63">
        <f t="shared" si="2"/>
        <v>17343700</v>
      </c>
      <c r="D98" s="58">
        <f>D99+D100</f>
        <v>17343700</v>
      </c>
      <c r="E98" s="58">
        <f>E105</f>
        <v>0</v>
      </c>
      <c r="F98" s="58"/>
      <c r="G98" s="58">
        <v>0</v>
      </c>
    </row>
    <row r="99" spans="1:7" s="54" customFormat="1" ht="13.5" customHeight="1">
      <c r="A99" s="76">
        <v>41020100</v>
      </c>
      <c r="B99" s="81" t="s">
        <v>202</v>
      </c>
      <c r="C99" s="63">
        <f t="shared" si="2"/>
        <v>9002200</v>
      </c>
      <c r="D99" s="58">
        <v>9002200</v>
      </c>
      <c r="E99" s="58"/>
      <c r="F99" s="58"/>
      <c r="G99" s="58">
        <v>0</v>
      </c>
    </row>
    <row r="100" spans="1:7" s="54" customFormat="1" ht="55.5" customHeight="1">
      <c r="A100" s="76">
        <v>41020200</v>
      </c>
      <c r="B100" s="77" t="s">
        <v>70</v>
      </c>
      <c r="C100" s="63">
        <f t="shared" si="2"/>
        <v>8341500</v>
      </c>
      <c r="D100" s="58">
        <v>8341500</v>
      </c>
      <c r="E100" s="58">
        <v>0</v>
      </c>
      <c r="F100" s="58"/>
      <c r="G100" s="58">
        <f>D100+E100</f>
        <v>8341500</v>
      </c>
    </row>
    <row r="101" spans="1:7" s="54" customFormat="1" ht="15.75" customHeight="1">
      <c r="A101" s="76">
        <v>41030000</v>
      </c>
      <c r="B101" s="77" t="s">
        <v>203</v>
      </c>
      <c r="C101" s="63">
        <f>D101+E101</f>
        <v>62048680.31</v>
      </c>
      <c r="D101" s="58">
        <f>D102+D103+D106+D108+D107+D105</f>
        <v>60647380.31</v>
      </c>
      <c r="E101" s="58">
        <f>E102+E103+E106+E108+E107</f>
        <v>1401300</v>
      </c>
      <c r="F101" s="58">
        <f>F102+F103+F106+F108+F107</f>
        <v>0</v>
      </c>
      <c r="G101" s="58">
        <f>G102+G103+G106+G108+G107</f>
        <v>1401300</v>
      </c>
    </row>
    <row r="102" spans="1:7" s="54" customFormat="1" ht="28.5" customHeight="1">
      <c r="A102" s="76">
        <v>41034200</v>
      </c>
      <c r="B102" s="81" t="s">
        <v>22</v>
      </c>
      <c r="C102" s="63">
        <f t="shared" si="2"/>
        <v>22512700</v>
      </c>
      <c r="D102" s="58">
        <v>22512700</v>
      </c>
      <c r="E102" s="58"/>
      <c r="F102" s="58"/>
      <c r="G102" s="58">
        <v>0</v>
      </c>
    </row>
    <row r="103" spans="1:7" s="54" customFormat="1" ht="27.75" customHeight="1">
      <c r="A103" s="76">
        <v>41033900</v>
      </c>
      <c r="B103" s="81" t="s">
        <v>21</v>
      </c>
      <c r="C103" s="63">
        <f t="shared" si="2"/>
        <v>37448100</v>
      </c>
      <c r="D103" s="58">
        <v>37448100</v>
      </c>
      <c r="E103" s="58"/>
      <c r="F103" s="58"/>
      <c r="G103" s="58">
        <v>0</v>
      </c>
    </row>
    <row r="104" spans="3:7" s="82" customFormat="1" ht="40.5" customHeight="1" hidden="1">
      <c r="C104" s="63">
        <f t="shared" si="2"/>
        <v>0</v>
      </c>
      <c r="D104" s="83">
        <v>0</v>
      </c>
      <c r="E104" s="83"/>
      <c r="F104" s="83"/>
      <c r="G104" s="83">
        <v>0</v>
      </c>
    </row>
    <row r="105" spans="1:7" s="54" customFormat="1" ht="47.25" customHeight="1">
      <c r="A105" s="76">
        <v>41034500</v>
      </c>
      <c r="B105" s="77" t="s">
        <v>420</v>
      </c>
      <c r="C105" s="63">
        <f t="shared" si="2"/>
        <v>216000</v>
      </c>
      <c r="D105" s="58">
        <v>216000</v>
      </c>
      <c r="E105" s="58">
        <f>216000-216000</f>
        <v>0</v>
      </c>
      <c r="F105" s="58"/>
      <c r="G105" s="58">
        <v>0</v>
      </c>
    </row>
    <row r="106" spans="1:7" s="54" customFormat="1" ht="24" customHeight="1">
      <c r="A106" s="76">
        <v>41035000</v>
      </c>
      <c r="B106" s="77" t="s">
        <v>73</v>
      </c>
      <c r="C106" s="63">
        <f t="shared" si="2"/>
        <v>316000</v>
      </c>
      <c r="D106" s="58">
        <f>96000+210000</f>
        <v>306000</v>
      </c>
      <c r="E106" s="58">
        <f>10000</f>
        <v>10000</v>
      </c>
      <c r="F106" s="58"/>
      <c r="G106" s="58">
        <f>10000</f>
        <v>10000</v>
      </c>
    </row>
    <row r="107" spans="1:7" s="54" customFormat="1" ht="38.25">
      <c r="A107" s="76">
        <v>41035200</v>
      </c>
      <c r="B107" s="77" t="s">
        <v>274</v>
      </c>
      <c r="C107" s="63">
        <f t="shared" si="2"/>
        <v>1391300</v>
      </c>
      <c r="D107" s="67">
        <v>0</v>
      </c>
      <c r="E107" s="58">
        <v>1391300</v>
      </c>
      <c r="F107" s="67"/>
      <c r="G107" s="58">
        <f>D107+E107</f>
        <v>1391300</v>
      </c>
    </row>
    <row r="108" spans="1:7" s="54" customFormat="1" ht="191.25">
      <c r="A108" s="76">
        <v>41036600</v>
      </c>
      <c r="B108" s="77" t="s">
        <v>302</v>
      </c>
      <c r="C108" s="63">
        <f t="shared" si="2"/>
        <v>164580.31</v>
      </c>
      <c r="D108" s="67">
        <f>329160.62-164580.31</f>
        <v>164580.31</v>
      </c>
      <c r="E108" s="58">
        <v>0</v>
      </c>
      <c r="F108" s="67"/>
      <c r="G108" s="58">
        <v>0</v>
      </c>
    </row>
    <row r="109" spans="1:7" s="79" customFormat="1" ht="12.75">
      <c r="A109" s="61">
        <v>50000000</v>
      </c>
      <c r="B109" s="62" t="s">
        <v>205</v>
      </c>
      <c r="C109" s="63">
        <f t="shared" si="2"/>
        <v>446000</v>
      </c>
      <c r="D109" s="67">
        <f>D110</f>
        <v>0</v>
      </c>
      <c r="E109" s="67">
        <f>E110</f>
        <v>446000</v>
      </c>
      <c r="F109" s="67"/>
      <c r="G109" s="67">
        <f>G110</f>
        <v>0</v>
      </c>
    </row>
    <row r="110" spans="1:7" s="54" customFormat="1" ht="12.75">
      <c r="A110" s="61">
        <v>50100000</v>
      </c>
      <c r="B110" s="62" t="s">
        <v>206</v>
      </c>
      <c r="C110" s="63">
        <f t="shared" si="2"/>
        <v>446000</v>
      </c>
      <c r="D110" s="58">
        <f>D111</f>
        <v>0</v>
      </c>
      <c r="E110" s="58">
        <f>E111</f>
        <v>446000</v>
      </c>
      <c r="F110" s="58"/>
      <c r="G110" s="58">
        <v>0</v>
      </c>
    </row>
    <row r="111" spans="1:7" s="54" customFormat="1" ht="39.75" customHeight="1">
      <c r="A111" s="61">
        <v>50110000</v>
      </c>
      <c r="B111" s="62" t="s">
        <v>207</v>
      </c>
      <c r="C111" s="63">
        <f t="shared" si="2"/>
        <v>446000</v>
      </c>
      <c r="D111" s="58">
        <v>0</v>
      </c>
      <c r="E111" s="58">
        <v>446000</v>
      </c>
      <c r="F111" s="58"/>
      <c r="G111" s="58">
        <v>0</v>
      </c>
    </row>
    <row r="112" spans="1:7" s="54" customFormat="1" ht="12.75" hidden="1">
      <c r="A112" s="84">
        <v>41030000</v>
      </c>
      <c r="B112" s="85" t="s">
        <v>203</v>
      </c>
      <c r="C112" s="63">
        <f t="shared" si="2"/>
        <v>0</v>
      </c>
      <c r="D112" s="86">
        <f>SUM(D113:D116)</f>
        <v>0</v>
      </c>
      <c r="E112" s="86">
        <f>SUM(E113:E116)</f>
        <v>0</v>
      </c>
      <c r="F112" s="86">
        <f>SUM(F113:F116)</f>
        <v>0</v>
      </c>
      <c r="G112" s="86">
        <f aca="true" t="shared" si="3" ref="G112:G119">D112+E112</f>
        <v>0</v>
      </c>
    </row>
    <row r="113" spans="1:7" s="54" customFormat="1" ht="12.75" hidden="1">
      <c r="A113" s="87">
        <v>41035003</v>
      </c>
      <c r="B113" s="88" t="s">
        <v>208</v>
      </c>
      <c r="C113" s="63">
        <f t="shared" si="2"/>
        <v>0</v>
      </c>
      <c r="D113" s="58">
        <v>0</v>
      </c>
      <c r="E113" s="58"/>
      <c r="F113" s="58"/>
      <c r="G113" s="58">
        <f t="shared" si="3"/>
        <v>0</v>
      </c>
    </row>
    <row r="114" spans="1:7" s="54" customFormat="1" ht="51" hidden="1">
      <c r="A114" s="87">
        <v>41036300</v>
      </c>
      <c r="B114" s="88" t="s">
        <v>209</v>
      </c>
      <c r="C114" s="63">
        <f t="shared" si="2"/>
        <v>0</v>
      </c>
      <c r="D114" s="58"/>
      <c r="E114" s="58"/>
      <c r="F114" s="58"/>
      <c r="G114" s="58">
        <f t="shared" si="3"/>
        <v>0</v>
      </c>
    </row>
    <row r="115" spans="1:7" s="54" customFormat="1" ht="38.25" hidden="1">
      <c r="A115" s="87">
        <v>41037000</v>
      </c>
      <c r="B115" s="88" t="s">
        <v>210</v>
      </c>
      <c r="C115" s="63">
        <f t="shared" si="2"/>
        <v>0</v>
      </c>
      <c r="D115" s="58"/>
      <c r="E115" s="58"/>
      <c r="F115" s="58"/>
      <c r="G115" s="58">
        <f t="shared" si="3"/>
        <v>0</v>
      </c>
    </row>
    <row r="116" spans="1:7" s="54" customFormat="1" ht="76.5" hidden="1">
      <c r="A116" s="87">
        <v>41036600</v>
      </c>
      <c r="B116" s="89" t="s">
        <v>211</v>
      </c>
      <c r="C116" s="63">
        <f t="shared" si="2"/>
        <v>0</v>
      </c>
      <c r="D116" s="58"/>
      <c r="E116" s="58"/>
      <c r="F116" s="58"/>
      <c r="G116" s="58">
        <f t="shared" si="3"/>
        <v>0</v>
      </c>
    </row>
    <row r="117" spans="1:7" s="54" customFormat="1" ht="63.75" hidden="1">
      <c r="A117" s="87">
        <v>41037900</v>
      </c>
      <c r="B117" s="88" t="s">
        <v>212</v>
      </c>
      <c r="C117" s="63">
        <f aca="true" t="shared" si="4" ref="C117:C122">D117+E117</f>
        <v>0</v>
      </c>
      <c r="D117" s="58"/>
      <c r="E117" s="58"/>
      <c r="F117" s="58"/>
      <c r="G117" s="58">
        <f t="shared" si="3"/>
        <v>0</v>
      </c>
    </row>
    <row r="118" spans="1:7" s="54" customFormat="1" ht="51" hidden="1">
      <c r="A118" s="87">
        <v>41021300</v>
      </c>
      <c r="B118" s="90" t="s">
        <v>213</v>
      </c>
      <c r="C118" s="63">
        <f t="shared" si="4"/>
        <v>0</v>
      </c>
      <c r="D118" s="58"/>
      <c r="E118" s="58"/>
      <c r="F118" s="58"/>
      <c r="G118" s="58">
        <f t="shared" si="3"/>
        <v>0</v>
      </c>
    </row>
    <row r="119" spans="1:7" s="54" customFormat="1" ht="25.5" hidden="1">
      <c r="A119" s="87">
        <v>43010000</v>
      </c>
      <c r="B119" s="88" t="s">
        <v>214</v>
      </c>
      <c r="C119" s="63">
        <f t="shared" si="4"/>
        <v>0</v>
      </c>
      <c r="D119" s="67"/>
      <c r="E119" s="67"/>
      <c r="F119" s="67">
        <f>E119</f>
        <v>0</v>
      </c>
      <c r="G119" s="67">
        <f t="shared" si="3"/>
        <v>0</v>
      </c>
    </row>
    <row r="120" spans="1:7" s="54" customFormat="1" ht="12.75" hidden="1">
      <c r="A120" s="87"/>
      <c r="B120" s="88"/>
      <c r="C120" s="63">
        <f t="shared" si="4"/>
        <v>0</v>
      </c>
      <c r="D120" s="67"/>
      <c r="E120" s="67"/>
      <c r="F120" s="67"/>
      <c r="G120" s="67"/>
    </row>
    <row r="121" spans="1:7" s="54" customFormat="1" ht="12.75">
      <c r="A121" s="299" t="s">
        <v>215</v>
      </c>
      <c r="B121" s="299"/>
      <c r="C121" s="63">
        <f t="shared" si="4"/>
        <v>63262234</v>
      </c>
      <c r="D121" s="67">
        <f>D11+D56+D81+D109</f>
        <v>60665234</v>
      </c>
      <c r="E121" s="67">
        <f>E11+E56+E81+E109</f>
        <v>2597000</v>
      </c>
      <c r="F121" s="67" t="e">
        <f>F11+F56+F81+F109</f>
        <v>#REF!</v>
      </c>
      <c r="G121" s="67">
        <f>G11+G56+G81+G109</f>
        <v>1250000</v>
      </c>
    </row>
    <row r="122" spans="1:7" s="54" customFormat="1" ht="12.75">
      <c r="A122" s="300" t="s">
        <v>0</v>
      </c>
      <c r="B122" s="300"/>
      <c r="C122" s="63">
        <f t="shared" si="4"/>
        <v>142654614.31</v>
      </c>
      <c r="D122" s="64">
        <f>D121+D88</f>
        <v>138656314.31</v>
      </c>
      <c r="E122" s="64">
        <f>E121+E88</f>
        <v>3998300</v>
      </c>
      <c r="F122" s="64" t="e">
        <f>F121+F88</f>
        <v>#REF!</v>
      </c>
      <c r="G122" s="64">
        <f>G121+G88</f>
        <v>2651300</v>
      </c>
    </row>
    <row r="125" spans="2:5" ht="12.75" hidden="1">
      <c r="B125" s="18" t="s">
        <v>3</v>
      </c>
      <c r="D125" s="6"/>
      <c r="E125" s="4" t="s">
        <v>216</v>
      </c>
    </row>
    <row r="127" spans="1:7" ht="12.75">
      <c r="A127" s="286" t="s">
        <v>3</v>
      </c>
      <c r="B127" s="287"/>
      <c r="E127" s="6"/>
      <c r="F127" s="4" t="s">
        <v>217</v>
      </c>
      <c r="G127" s="5" t="s">
        <v>311</v>
      </c>
    </row>
    <row r="129" spans="1:7" ht="12.75" hidden="1">
      <c r="A129" s="92" t="s">
        <v>218</v>
      </c>
      <c r="E129" s="6"/>
      <c r="F129" s="4" t="s">
        <v>219</v>
      </c>
      <c r="G129" s="5" t="s">
        <v>220</v>
      </c>
    </row>
  </sheetData>
  <sheetProtection/>
  <mergeCells count="10">
    <mergeCell ref="D1:G1"/>
    <mergeCell ref="A2:F2"/>
    <mergeCell ref="A127:B127"/>
    <mergeCell ref="E6:G7"/>
    <mergeCell ref="A6:A8"/>
    <mergeCell ref="B6:B8"/>
    <mergeCell ref="C6:C8"/>
    <mergeCell ref="D6:D8"/>
    <mergeCell ref="A121:B121"/>
    <mergeCell ref="A122:B12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4" sqref="A4:F4"/>
    </sheetView>
  </sheetViews>
  <sheetFormatPr defaultColWidth="9.16015625" defaultRowHeight="12.75"/>
  <cols>
    <col min="1" max="1" width="9.5" style="3" customWidth="1"/>
    <col min="2" max="2" width="52" style="3" customWidth="1"/>
    <col min="3" max="6" width="16.33203125" style="3" customWidth="1"/>
    <col min="7" max="12" width="9.16015625" style="3" customWidth="1"/>
    <col min="13" max="16384" width="9.16015625" style="257" customWidth="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3:13" ht="60.75" customHeight="1">
      <c r="C3" s="283" t="s">
        <v>422</v>
      </c>
      <c r="D3" s="283"/>
      <c r="E3" s="283"/>
      <c r="F3" s="283"/>
      <c r="M3" s="3"/>
    </row>
    <row r="4" spans="1:6" ht="25.5" customHeight="1">
      <c r="A4" s="284" t="s">
        <v>392</v>
      </c>
      <c r="B4" s="284"/>
      <c r="C4" s="284"/>
      <c r="D4" s="284"/>
      <c r="E4" s="284"/>
      <c r="F4" s="284"/>
    </row>
    <row r="5" spans="1:6" ht="12.75" customHeight="1">
      <c r="A5" s="301"/>
      <c r="B5" s="301"/>
      <c r="C5" s="301"/>
      <c r="D5" s="301"/>
      <c r="E5" s="301"/>
      <c r="F5" s="157" t="s">
        <v>72</v>
      </c>
    </row>
    <row r="6" spans="1:12" s="260" customFormat="1" ht="24.75" customHeight="1">
      <c r="A6" s="302" t="s">
        <v>122</v>
      </c>
      <c r="B6" s="302" t="s">
        <v>393</v>
      </c>
      <c r="C6" s="302" t="s">
        <v>0</v>
      </c>
      <c r="D6" s="302" t="s">
        <v>1</v>
      </c>
      <c r="E6" s="302" t="s">
        <v>2</v>
      </c>
      <c r="F6" s="302"/>
      <c r="G6" s="259"/>
      <c r="H6" s="259"/>
      <c r="I6" s="259"/>
      <c r="J6" s="259"/>
      <c r="K6" s="259"/>
      <c r="L6" s="259"/>
    </row>
    <row r="7" spans="1:12" s="260" customFormat="1" ht="38.25" customHeight="1">
      <c r="A7" s="302"/>
      <c r="B7" s="302"/>
      <c r="C7" s="302"/>
      <c r="D7" s="302"/>
      <c r="E7" s="258" t="s">
        <v>0</v>
      </c>
      <c r="F7" s="261" t="s">
        <v>394</v>
      </c>
      <c r="G7" s="259"/>
      <c r="H7" s="259"/>
      <c r="I7" s="259"/>
      <c r="J7" s="259"/>
      <c r="K7" s="259"/>
      <c r="L7" s="259"/>
    </row>
    <row r="8" spans="1:12" s="265" customFormat="1" ht="26.25" customHeight="1">
      <c r="A8" s="262" t="s">
        <v>395</v>
      </c>
      <c r="B8" s="263" t="s">
        <v>396</v>
      </c>
      <c r="C8" s="264">
        <f>C9</f>
        <v>2497057.0199999996</v>
      </c>
      <c r="D8" s="264">
        <f>D9</f>
        <v>-3723958</v>
      </c>
      <c r="E8" s="264">
        <f>E9</f>
        <v>6221015.02</v>
      </c>
      <c r="F8" s="264">
        <f>F9</f>
        <v>5600310.88</v>
      </c>
      <c r="G8" s="3"/>
      <c r="H8" s="3"/>
      <c r="I8" s="3"/>
      <c r="J8" s="3"/>
      <c r="K8" s="3"/>
      <c r="L8" s="3"/>
    </row>
    <row r="9" spans="1:12" s="269" customFormat="1" ht="36" customHeight="1">
      <c r="A9" s="262" t="s">
        <v>397</v>
      </c>
      <c r="B9" s="266" t="s">
        <v>398</v>
      </c>
      <c r="C9" s="264">
        <f>D9+E9</f>
        <v>2497057.0199999996</v>
      </c>
      <c r="D9" s="267">
        <f>D10-D11+D12</f>
        <v>-3723958</v>
      </c>
      <c r="E9" s="267">
        <f>E10-E11+E12</f>
        <v>6221015.02</v>
      </c>
      <c r="F9" s="267">
        <f>F10-F11+F12</f>
        <v>5600310.88</v>
      </c>
      <c r="G9" s="268"/>
      <c r="H9" s="268"/>
      <c r="I9" s="268"/>
      <c r="J9" s="268"/>
      <c r="K9" s="268"/>
      <c r="L9" s="268"/>
    </row>
    <row r="10" spans="1:12" s="275" customFormat="1" ht="20.25" customHeight="1">
      <c r="A10" s="270" t="s">
        <v>399</v>
      </c>
      <c r="B10" s="271" t="s">
        <v>400</v>
      </c>
      <c r="C10" s="264">
        <f>D10+E10</f>
        <v>2543467.5300000003</v>
      </c>
      <c r="D10" s="272">
        <v>1711595.51</v>
      </c>
      <c r="E10" s="273">
        <v>831872.02</v>
      </c>
      <c r="F10" s="274">
        <v>211167.88</v>
      </c>
      <c r="G10" s="268"/>
      <c r="H10" s="268"/>
      <c r="I10" s="268"/>
      <c r="J10" s="268"/>
      <c r="K10" s="268"/>
      <c r="L10" s="268"/>
    </row>
    <row r="11" spans="1:12" s="275" customFormat="1" ht="20.25" customHeight="1">
      <c r="A11" s="270" t="s">
        <v>401</v>
      </c>
      <c r="B11" s="271" t="s">
        <v>402</v>
      </c>
      <c r="C11" s="264">
        <f>D11+E11</f>
        <v>46410.51</v>
      </c>
      <c r="D11" s="272">
        <v>46410.51</v>
      </c>
      <c r="E11" s="272">
        <v>0</v>
      </c>
      <c r="F11" s="274">
        <v>0</v>
      </c>
      <c r="G11" s="268"/>
      <c r="H11" s="268"/>
      <c r="I11" s="268"/>
      <c r="J11" s="268"/>
      <c r="K11" s="268"/>
      <c r="L11" s="268"/>
    </row>
    <row r="12" spans="1:12" s="275" customFormat="1" ht="45">
      <c r="A12" s="270" t="s">
        <v>403</v>
      </c>
      <c r="B12" s="271" t="s">
        <v>404</v>
      </c>
      <c r="C12" s="264">
        <f>D12+E12</f>
        <v>0</v>
      </c>
      <c r="D12" s="272">
        <f>-3500000-1167650+30000-2000-90643-442850-216000</f>
        <v>-5389143</v>
      </c>
      <c r="E12" s="272">
        <f>3500000+1167650-30000+2000+90643+442850+216000</f>
        <v>5389143</v>
      </c>
      <c r="F12" s="272">
        <f>3500000+1167650-30000+2000+90643+442850+216000</f>
        <v>5389143</v>
      </c>
      <c r="G12" s="268"/>
      <c r="H12" s="268"/>
      <c r="I12" s="268"/>
      <c r="J12" s="268"/>
      <c r="K12" s="268"/>
      <c r="L12" s="268"/>
    </row>
    <row r="13" spans="1:12" s="275" customFormat="1" ht="20.25" customHeight="1">
      <c r="A13" s="262"/>
      <c r="B13" s="266" t="s">
        <v>405</v>
      </c>
      <c r="C13" s="264">
        <f aca="true" t="shared" si="0" ref="C13:F14">C14</f>
        <v>2497057.0199999996</v>
      </c>
      <c r="D13" s="264">
        <f t="shared" si="0"/>
        <v>-3723958</v>
      </c>
      <c r="E13" s="264">
        <f t="shared" si="0"/>
        <v>6221015.02</v>
      </c>
      <c r="F13" s="264">
        <f t="shared" si="0"/>
        <v>5600310.88</v>
      </c>
      <c r="G13" s="268"/>
      <c r="H13" s="268"/>
      <c r="I13" s="268"/>
      <c r="J13" s="268"/>
      <c r="K13" s="268"/>
      <c r="L13" s="268"/>
    </row>
    <row r="14" spans="1:12" s="275" customFormat="1" ht="20.25" customHeight="1">
      <c r="A14" s="262" t="s">
        <v>406</v>
      </c>
      <c r="B14" s="266" t="s">
        <v>407</v>
      </c>
      <c r="C14" s="264">
        <f t="shared" si="0"/>
        <v>2497057.0199999996</v>
      </c>
      <c r="D14" s="264">
        <f t="shared" si="0"/>
        <v>-3723958</v>
      </c>
      <c r="E14" s="264">
        <f t="shared" si="0"/>
        <v>6221015.02</v>
      </c>
      <c r="F14" s="264">
        <f t="shared" si="0"/>
        <v>5600310.88</v>
      </c>
      <c r="G14" s="268"/>
      <c r="H14" s="268"/>
      <c r="I14" s="268"/>
      <c r="J14" s="268"/>
      <c r="K14" s="268"/>
      <c r="L14" s="268"/>
    </row>
    <row r="15" spans="1:12" s="275" customFormat="1" ht="20.25" customHeight="1">
      <c r="A15" s="270" t="s">
        <v>408</v>
      </c>
      <c r="B15" s="266" t="s">
        <v>409</v>
      </c>
      <c r="C15" s="264">
        <f>D15+E15</f>
        <v>2497057.0199999996</v>
      </c>
      <c r="D15" s="272">
        <f>D16-D17+D18</f>
        <v>-3723958</v>
      </c>
      <c r="E15" s="272">
        <f>E16-E17+E18</f>
        <v>6221015.02</v>
      </c>
      <c r="F15" s="272">
        <f>F16-F17+F18</f>
        <v>5600310.88</v>
      </c>
      <c r="G15" s="268"/>
      <c r="H15" s="268"/>
      <c r="I15" s="268"/>
      <c r="J15" s="268"/>
      <c r="K15" s="268"/>
      <c r="L15" s="268"/>
    </row>
    <row r="16" spans="1:12" s="275" customFormat="1" ht="20.25" customHeight="1">
      <c r="A16" s="270" t="s">
        <v>410</v>
      </c>
      <c r="B16" s="271" t="s">
        <v>400</v>
      </c>
      <c r="C16" s="264">
        <f>D16+E16</f>
        <v>2543467.5300000003</v>
      </c>
      <c r="D16" s="272">
        <v>1711595.51</v>
      </c>
      <c r="E16" s="272">
        <v>831872.02</v>
      </c>
      <c r="F16" s="274">
        <v>211167.88</v>
      </c>
      <c r="G16" s="268"/>
      <c r="H16" s="268"/>
      <c r="I16" s="268"/>
      <c r="J16" s="268"/>
      <c r="K16" s="268"/>
      <c r="L16" s="268"/>
    </row>
    <row r="17" spans="1:12" s="269" customFormat="1" ht="36.75" customHeight="1">
      <c r="A17" s="270" t="s">
        <v>411</v>
      </c>
      <c r="B17" s="271" t="s">
        <v>402</v>
      </c>
      <c r="C17" s="264">
        <f>D17+E17</f>
        <v>46410.51</v>
      </c>
      <c r="D17" s="272">
        <v>46410.51</v>
      </c>
      <c r="E17" s="276">
        <v>0</v>
      </c>
      <c r="F17" s="274">
        <v>0</v>
      </c>
      <c r="G17" s="268"/>
      <c r="H17" s="268"/>
      <c r="I17" s="268"/>
      <c r="J17" s="268"/>
      <c r="K17" s="268"/>
      <c r="L17" s="268"/>
    </row>
    <row r="18" spans="1:12" s="275" customFormat="1" ht="45">
      <c r="A18" s="270" t="s">
        <v>412</v>
      </c>
      <c r="B18" s="271" t="s">
        <v>404</v>
      </c>
      <c r="C18" s="264">
        <f>D18+E18</f>
        <v>0</v>
      </c>
      <c r="D18" s="272">
        <f>-3500000-1167650+30000-2000-90643-442850-216000</f>
        <v>-5389143</v>
      </c>
      <c r="E18" s="272">
        <f>3500000+1167650-30000+2000+90643+442850+216000</f>
        <v>5389143</v>
      </c>
      <c r="F18" s="272">
        <f>3500000+1167650-30000+2000+90643+442850+216000</f>
        <v>5389143</v>
      </c>
      <c r="G18" s="268"/>
      <c r="H18" s="268"/>
      <c r="I18" s="268"/>
      <c r="J18" s="268"/>
      <c r="K18" s="268"/>
      <c r="L18" s="268"/>
    </row>
    <row r="19" spans="1:12" s="275" customFormat="1" ht="18.75" customHeight="1">
      <c r="A19" s="262"/>
      <c r="B19" s="266" t="s">
        <v>413</v>
      </c>
      <c r="C19" s="264">
        <f>C8</f>
        <v>2497057.0199999996</v>
      </c>
      <c r="D19" s="264">
        <f>D8</f>
        <v>-3723958</v>
      </c>
      <c r="E19" s="264">
        <f>E8</f>
        <v>6221015.02</v>
      </c>
      <c r="F19" s="264">
        <f>F8</f>
        <v>5600310.88</v>
      </c>
      <c r="G19" s="268"/>
      <c r="H19" s="268"/>
      <c r="I19" s="277"/>
      <c r="J19" s="268"/>
      <c r="K19" s="268"/>
      <c r="L19" s="268"/>
    </row>
    <row r="20" spans="1:12" ht="12.7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</row>
    <row r="21" ht="12.75" customHeight="1"/>
    <row r="22" spans="1:7" s="4" customFormat="1" ht="12.75">
      <c r="A22" s="286" t="s">
        <v>3</v>
      </c>
      <c r="B22" s="287"/>
      <c r="C22" s="18"/>
      <c r="E22" s="6"/>
      <c r="F22" s="54" t="s">
        <v>311</v>
      </c>
      <c r="G22" s="5"/>
    </row>
  </sheetData>
  <sheetProtection/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="85" zoomScaleNormal="75" zoomScaleSheetLayoutView="85" zoomScalePageLayoutView="0" workbookViewId="0" topLeftCell="F56">
      <selection activeCell="P57" sqref="P57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6:18" ht="69" customHeight="1">
      <c r="F2" s="19"/>
      <c r="G2" s="19"/>
      <c r="H2" s="19"/>
      <c r="I2" s="19"/>
      <c r="J2" s="19"/>
      <c r="K2" s="19"/>
      <c r="L2" s="19"/>
      <c r="M2" s="283" t="s">
        <v>423</v>
      </c>
      <c r="N2" s="283"/>
      <c r="O2" s="283"/>
      <c r="P2" s="283"/>
      <c r="Q2" s="283"/>
      <c r="R2" s="7"/>
    </row>
    <row r="3" spans="2:17" ht="30" customHeight="1">
      <c r="B3" s="310" t="s">
        <v>30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7" s="8" customFormat="1" ht="21.75" customHeight="1">
      <c r="A5" s="9"/>
      <c r="B5" s="303" t="s">
        <v>31</v>
      </c>
      <c r="C5" s="311" t="s">
        <v>23</v>
      </c>
      <c r="D5" s="303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7" s="8" customFormat="1" ht="16.5" customHeight="1">
      <c r="A6" s="11"/>
      <c r="B6" s="303"/>
      <c r="C6" s="312"/>
      <c r="D6" s="303"/>
      <c r="E6" s="306"/>
      <c r="F6" s="306" t="s">
        <v>0</v>
      </c>
      <c r="G6" s="305" t="s">
        <v>8</v>
      </c>
      <c r="H6" s="306" t="s">
        <v>9</v>
      </c>
      <c r="I6" s="306"/>
      <c r="J6" s="305" t="s">
        <v>10</v>
      </c>
      <c r="K6" s="306" t="s">
        <v>0</v>
      </c>
      <c r="L6" s="305" t="s">
        <v>8</v>
      </c>
      <c r="M6" s="306" t="s">
        <v>9</v>
      </c>
      <c r="N6" s="306"/>
      <c r="O6" s="305" t="s">
        <v>10</v>
      </c>
      <c r="P6" s="10" t="s">
        <v>9</v>
      </c>
      <c r="Q6" s="306"/>
    </row>
    <row r="7" spans="1:17" s="8" customFormat="1" ht="20.25" customHeight="1">
      <c r="A7" s="12"/>
      <c r="B7" s="303"/>
      <c r="C7" s="312"/>
      <c r="D7" s="303"/>
      <c r="E7" s="306"/>
      <c r="F7" s="306"/>
      <c r="G7" s="305"/>
      <c r="H7" s="306" t="s">
        <v>11</v>
      </c>
      <c r="I7" s="306" t="s">
        <v>12</v>
      </c>
      <c r="J7" s="305"/>
      <c r="K7" s="306"/>
      <c r="L7" s="305"/>
      <c r="M7" s="306" t="s">
        <v>11</v>
      </c>
      <c r="N7" s="306" t="s">
        <v>12</v>
      </c>
      <c r="O7" s="305"/>
      <c r="P7" s="306" t="s">
        <v>13</v>
      </c>
      <c r="Q7" s="306"/>
    </row>
    <row r="8" spans="1:17" s="8" customFormat="1" ht="51" customHeight="1">
      <c r="A8" s="13"/>
      <c r="B8" s="303"/>
      <c r="C8" s="313"/>
      <c r="D8" s="303"/>
      <c r="E8" s="306"/>
      <c r="F8" s="306"/>
      <c r="G8" s="305"/>
      <c r="H8" s="306"/>
      <c r="I8" s="306"/>
      <c r="J8" s="305"/>
      <c r="K8" s="306"/>
      <c r="L8" s="305"/>
      <c r="M8" s="306"/>
      <c r="N8" s="306"/>
      <c r="O8" s="305"/>
      <c r="P8" s="306"/>
      <c r="Q8" s="306"/>
    </row>
    <row r="9" spans="1:17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>F11+F12+F30+F31+F32+F34+F38+F40+F41+F44+F47+F48+F42+F39+F17+F18+F25+F26+F27</f>
        <v>21548110.27</v>
      </c>
      <c r="G10" s="34">
        <f>G11+G12+G30+G31+G32+G34+G38+G40+G41+G44+G47+G48+G42+G39+G17+G18+G25+G26+G27</f>
        <v>18528275.960000005</v>
      </c>
      <c r="H10" s="34">
        <f aca="true" t="shared" si="0" ref="H10:Q10">H11+H12+H30+H31+H32+H34+H38+H40+H41+H44+H47+H48+H42+H39+H17+H18+H25+H26+H27</f>
        <v>9268213.969999999</v>
      </c>
      <c r="I10" s="34">
        <f t="shared" si="0"/>
        <v>949191.57</v>
      </c>
      <c r="J10" s="34">
        <f t="shared" si="0"/>
        <v>3019834.31</v>
      </c>
      <c r="K10" s="34">
        <f t="shared" si="0"/>
        <v>7302891.289999999</v>
      </c>
      <c r="L10" s="34">
        <f t="shared" si="0"/>
        <v>976984.55</v>
      </c>
      <c r="M10" s="34">
        <f t="shared" si="0"/>
        <v>0</v>
      </c>
      <c r="N10" s="34">
        <f t="shared" si="0"/>
        <v>0</v>
      </c>
      <c r="O10" s="34">
        <f t="shared" si="0"/>
        <v>6325906.739999999</v>
      </c>
      <c r="P10" s="34">
        <f t="shared" si="0"/>
        <v>5949574.879999999</v>
      </c>
      <c r="Q10" s="34">
        <f t="shared" si="0"/>
        <v>28851001.56</v>
      </c>
    </row>
    <row r="11" spans="1:17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261</v>
      </c>
      <c r="F11" s="33">
        <f>G11</f>
        <v>8458161</v>
      </c>
      <c r="G11" s="33">
        <f>6066311+12998+259000+52000+5000+27000+10000+1831025+28000-10000+176827</f>
        <v>8458161</v>
      </c>
      <c r="H11" s="33">
        <f>4476721+155000+1427000+145000</f>
        <v>6203721</v>
      </c>
      <c r="I11" s="33">
        <v>284576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8458161</v>
      </c>
    </row>
    <row r="12" spans="1:17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324905</v>
      </c>
      <c r="G12" s="33">
        <f>162000+20000+122405+10500+10000</f>
        <v>324905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374905</v>
      </c>
    </row>
    <row r="13" spans="1:17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128</v>
      </c>
      <c r="C14" s="42"/>
      <c r="D14" s="42"/>
      <c r="E14" s="47" t="s">
        <v>65</v>
      </c>
      <c r="F14" s="34">
        <f>F15+F16+F17+F18</f>
        <v>4569061.1</v>
      </c>
      <c r="G14" s="34">
        <f aca="true" t="shared" si="1" ref="G14:Q14">G15+G16+G17+G18</f>
        <v>4569061.1</v>
      </c>
      <c r="H14" s="34">
        <f t="shared" si="1"/>
        <v>2896823.35</v>
      </c>
      <c r="I14" s="34">
        <f t="shared" si="1"/>
        <v>664615.57</v>
      </c>
      <c r="J14" s="34">
        <f t="shared" si="1"/>
        <v>0</v>
      </c>
      <c r="K14" s="34">
        <f t="shared" si="1"/>
        <v>265612.27</v>
      </c>
      <c r="L14" s="34"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4834673.369999999</v>
      </c>
    </row>
    <row r="15" spans="1:17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>
      <c r="A17" s="3"/>
      <c r="B17" s="31" t="s">
        <v>38</v>
      </c>
      <c r="C17" s="31" t="s">
        <v>36</v>
      </c>
      <c r="D17" s="31" t="s">
        <v>37</v>
      </c>
      <c r="E17" s="44" t="s">
        <v>35</v>
      </c>
      <c r="F17" s="33">
        <f>G17</f>
        <v>4531783.1</v>
      </c>
      <c r="G17" s="33">
        <v>4531783.1</v>
      </c>
      <c r="H17" s="33">
        <v>2896823.35</v>
      </c>
      <c r="I17" s="33">
        <v>664615.57</v>
      </c>
      <c r="J17" s="33">
        <v>0</v>
      </c>
      <c r="K17" s="45">
        <f>L17+O17</f>
        <v>265612.27</v>
      </c>
      <c r="L17" s="33">
        <f>880000-614387.73</f>
        <v>265612.27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4797395.369999999</v>
      </c>
    </row>
    <row r="18" spans="1:17" s="8" customFormat="1" ht="17.25" customHeight="1">
      <c r="A18" s="3"/>
      <c r="B18" s="31" t="s">
        <v>116</v>
      </c>
      <c r="C18" s="31" t="s">
        <v>123</v>
      </c>
      <c r="D18" s="31"/>
      <c r="E18" s="49" t="s">
        <v>115</v>
      </c>
      <c r="F18" s="33">
        <f>F19</f>
        <v>37278</v>
      </c>
      <c r="G18" s="33">
        <f aca="true" t="shared" si="2" ref="G18:P18">G19</f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>
      <c r="A19" s="3"/>
      <c r="B19" s="28" t="s">
        <v>117</v>
      </c>
      <c r="C19" s="31" t="s">
        <v>119</v>
      </c>
      <c r="D19" s="31" t="s">
        <v>118</v>
      </c>
      <c r="E19" s="44" t="s">
        <v>120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="8" customFormat="1" ht="12.75" hidden="1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129</v>
      </c>
      <c r="C22" s="42"/>
      <c r="D22" s="42"/>
      <c r="E22" s="47" t="s">
        <v>16</v>
      </c>
      <c r="F22" s="34">
        <f>F26+F27+F25+F23</f>
        <v>201403.86000000002</v>
      </c>
      <c r="G22" s="34">
        <f aca="true" t="shared" si="3" ref="G22:Q22">G26+G27+G25+G23</f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130</v>
      </c>
      <c r="C23" s="42"/>
      <c r="D23" s="42"/>
      <c r="E23" s="47" t="s">
        <v>127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>
      <c r="A25" s="3"/>
      <c r="B25" s="28" t="s">
        <v>84</v>
      </c>
      <c r="C25" s="31" t="s">
        <v>83</v>
      </c>
      <c r="D25" s="31" t="s">
        <v>85</v>
      </c>
      <c r="E25" s="44" t="s">
        <v>86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>
      <c r="A26" s="3"/>
      <c r="B26" s="31" t="s">
        <v>45</v>
      </c>
      <c r="C26" s="31" t="s">
        <v>46</v>
      </c>
      <c r="D26" s="31" t="s">
        <v>79</v>
      </c>
      <c r="E26" s="36" t="s">
        <v>80</v>
      </c>
      <c r="F26" s="33">
        <f>G26</f>
        <v>138209.92</v>
      </c>
      <c r="G26" s="16">
        <v>138209.92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</v>
      </c>
    </row>
    <row r="27" spans="1:17" s="8" customFormat="1" ht="12.75">
      <c r="A27" s="3"/>
      <c r="B27" s="31" t="s">
        <v>47</v>
      </c>
      <c r="C27" s="31" t="s">
        <v>48</v>
      </c>
      <c r="D27" s="31" t="s">
        <v>87</v>
      </c>
      <c r="E27" s="49" t="s">
        <v>4</v>
      </c>
      <c r="F27" s="33">
        <f>G27+H27+I27+J27</f>
        <v>21595</v>
      </c>
      <c r="G27" s="33">
        <f>21595</f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>
      <c r="A30" s="3"/>
      <c r="B30" s="28" t="s">
        <v>41</v>
      </c>
      <c r="C30" s="31" t="s">
        <v>39</v>
      </c>
      <c r="D30" s="31" t="s">
        <v>40</v>
      </c>
      <c r="E30" s="44" t="s">
        <v>78</v>
      </c>
      <c r="F30" s="33">
        <f>G30+H30+I30+J30</f>
        <v>420256</v>
      </c>
      <c r="G30" s="33">
        <f>180000+60000+10000+150000+256+20000</f>
        <v>420256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420256</v>
      </c>
    </row>
    <row r="31" spans="1:17" s="8" customFormat="1" ht="62.25" customHeight="1">
      <c r="A31" s="3"/>
      <c r="B31" s="28" t="s">
        <v>43</v>
      </c>
      <c r="C31" s="31" t="s">
        <v>42</v>
      </c>
      <c r="D31" s="31" t="s">
        <v>44</v>
      </c>
      <c r="E31" s="48" t="s">
        <v>77</v>
      </c>
      <c r="F31" s="33">
        <f>G31+H31+I31+J31</f>
        <v>200000</v>
      </c>
      <c r="G31" s="33">
        <f>150000+50000</f>
        <v>200000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200000</v>
      </c>
    </row>
    <row r="32" spans="1:17" s="8" customFormat="1" ht="12.75">
      <c r="A32" s="3"/>
      <c r="B32" s="31" t="s">
        <v>91</v>
      </c>
      <c r="C32" s="31" t="s">
        <v>92</v>
      </c>
      <c r="D32" s="31"/>
      <c r="E32" s="141" t="s">
        <v>96</v>
      </c>
      <c r="F32" s="45">
        <f>F33</f>
        <v>0</v>
      </c>
      <c r="G32" s="45">
        <f>G33</f>
        <v>0</v>
      </c>
      <c r="H32" s="45">
        <f>H33</f>
        <v>0</v>
      </c>
      <c r="I32" s="45">
        <f>I33</f>
        <v>0</v>
      </c>
      <c r="J32" s="45">
        <f>J33</f>
        <v>0</v>
      </c>
      <c r="K32" s="45">
        <f aca="true" t="shared" si="4" ref="K32:P32">K33</f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>
      <c r="A33" s="3"/>
      <c r="B33" s="31" t="s">
        <v>93</v>
      </c>
      <c r="C33" s="31" t="s">
        <v>94</v>
      </c>
      <c r="D33" s="31" t="s">
        <v>95</v>
      </c>
      <c r="E33" s="48" t="s">
        <v>97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>
      <c r="A34" s="3"/>
      <c r="B34" s="31" t="s">
        <v>100</v>
      </c>
      <c r="C34" s="31" t="s">
        <v>101</v>
      </c>
      <c r="D34" s="31"/>
      <c r="E34" s="48" t="s">
        <v>98</v>
      </c>
      <c r="F34" s="33">
        <f>F36+F35+F37</f>
        <v>151094</v>
      </c>
      <c r="G34" s="33">
        <f aca="true" t="shared" si="5" ref="G34:P34">G36+G35+G37</f>
        <v>0</v>
      </c>
      <c r="H34" s="33">
        <f t="shared" si="5"/>
        <v>0</v>
      </c>
      <c r="I34" s="33">
        <f t="shared" si="5"/>
        <v>0</v>
      </c>
      <c r="J34" s="33">
        <f t="shared" si="5"/>
        <v>151094</v>
      </c>
      <c r="K34" s="33">
        <f t="shared" si="5"/>
        <v>10000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10000</v>
      </c>
      <c r="P34" s="33">
        <f t="shared" si="5"/>
        <v>10000</v>
      </c>
      <c r="Q34" s="34">
        <f>Q36+Q35+Q37</f>
        <v>161094</v>
      </c>
    </row>
    <row r="35" spans="1:17" s="8" customFormat="1" ht="12.75">
      <c r="A35" s="3"/>
      <c r="B35" s="31" t="s">
        <v>124</v>
      </c>
      <c r="C35" s="31" t="s">
        <v>242</v>
      </c>
      <c r="D35" s="31" t="s">
        <v>95</v>
      </c>
      <c r="E35" s="48" t="s">
        <v>125</v>
      </c>
      <c r="F35" s="33">
        <f>G35+H35+I35+J35</f>
        <v>126094</v>
      </c>
      <c r="G35" s="33">
        <v>0</v>
      </c>
      <c r="H35" s="33">
        <v>0</v>
      </c>
      <c r="I35" s="33">
        <f>I38</f>
        <v>0</v>
      </c>
      <c r="J35" s="33">
        <f>50000+76094</f>
        <v>126094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aca="true" t="shared" si="6" ref="Q35:Q44">F35+K35</f>
        <v>126094</v>
      </c>
    </row>
    <row r="36" spans="1:17" s="8" customFormat="1" ht="28.5" customHeight="1">
      <c r="A36" s="3"/>
      <c r="B36" s="31" t="s">
        <v>102</v>
      </c>
      <c r="C36" s="31" t="s">
        <v>103</v>
      </c>
      <c r="D36" s="31" t="s">
        <v>27</v>
      </c>
      <c r="E36" s="48" t="s">
        <v>99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43.5" customHeight="1">
      <c r="A37" s="3"/>
      <c r="B37" s="31" t="s">
        <v>281</v>
      </c>
      <c r="C37" s="31" t="s">
        <v>282</v>
      </c>
      <c r="D37" s="31" t="s">
        <v>27</v>
      </c>
      <c r="E37" s="48" t="s">
        <v>283</v>
      </c>
      <c r="F37" s="33">
        <f>G37+H37+I37+J37</f>
        <v>0</v>
      </c>
      <c r="G37" s="33">
        <v>0</v>
      </c>
      <c r="H37" s="33">
        <v>0</v>
      </c>
      <c r="I37" s="33">
        <v>0</v>
      </c>
      <c r="J37" s="33">
        <v>0</v>
      </c>
      <c r="K37" s="45">
        <f>O37</f>
        <v>10000</v>
      </c>
      <c r="L37" s="33">
        <v>0</v>
      </c>
      <c r="M37" s="33">
        <v>0</v>
      </c>
      <c r="N37" s="33">
        <v>0</v>
      </c>
      <c r="O37" s="33">
        <f>P37</f>
        <v>10000</v>
      </c>
      <c r="P37" s="33">
        <v>10000</v>
      </c>
      <c r="Q37" s="34">
        <f>F37+K37</f>
        <v>10000</v>
      </c>
    </row>
    <row r="38" spans="1:17" s="8" customFormat="1" ht="12.75">
      <c r="A38" s="3"/>
      <c r="B38" s="24" t="s">
        <v>25</v>
      </c>
      <c r="C38" s="24" t="s">
        <v>26</v>
      </c>
      <c r="D38" s="24" t="s">
        <v>27</v>
      </c>
      <c r="E38" s="44" t="s">
        <v>52</v>
      </c>
      <c r="F38" s="33">
        <f>G38+I38+J38</f>
        <v>3894009</v>
      </c>
      <c r="G38" s="33">
        <f>378600+521527+37500+70000+22400+27534+50000+20000+73588+52000-28000+14700-50000</f>
        <v>1189849</v>
      </c>
      <c r="H38" s="33">
        <v>20000</v>
      </c>
      <c r="I38" s="33">
        <v>0</v>
      </c>
      <c r="J38" s="33">
        <f>2200000+70160+50000+384000</f>
        <v>2704160</v>
      </c>
      <c r="K38" s="45">
        <f>L38+O38</f>
        <v>0</v>
      </c>
      <c r="L38" s="33">
        <v>0</v>
      </c>
      <c r="M38" s="33">
        <v>0</v>
      </c>
      <c r="N38" s="33">
        <v>0</v>
      </c>
      <c r="O38" s="33">
        <f>P38</f>
        <v>0</v>
      </c>
      <c r="P38" s="33">
        <v>0</v>
      </c>
      <c r="Q38" s="34">
        <f t="shared" si="6"/>
        <v>3894009</v>
      </c>
    </row>
    <row r="39" spans="1:17" s="8" customFormat="1" ht="114.75">
      <c r="A39" s="3"/>
      <c r="B39" s="24" t="s">
        <v>303</v>
      </c>
      <c r="C39" s="24" t="s">
        <v>306</v>
      </c>
      <c r="D39" s="24" t="s">
        <v>305</v>
      </c>
      <c r="E39" s="44" t="s">
        <v>304</v>
      </c>
      <c r="F39" s="33">
        <f>G39+I39+J39</f>
        <v>164580.31</v>
      </c>
      <c r="G39" s="33">
        <v>0</v>
      </c>
      <c r="H39" s="33">
        <v>0</v>
      </c>
      <c r="I39" s="33">
        <v>0</v>
      </c>
      <c r="J39" s="33">
        <v>164580.31</v>
      </c>
      <c r="K39" s="45">
        <f>L39+O39</f>
        <v>0</v>
      </c>
      <c r="L39" s="33">
        <v>0</v>
      </c>
      <c r="M39" s="33">
        <v>0</v>
      </c>
      <c r="N39" s="33">
        <v>0</v>
      </c>
      <c r="O39" s="33">
        <f>P39</f>
        <v>0</v>
      </c>
      <c r="P39" s="33">
        <v>0</v>
      </c>
      <c r="Q39" s="34">
        <f>F39+K39</f>
        <v>164580.31</v>
      </c>
    </row>
    <row r="40" spans="1:17" s="8" customFormat="1" ht="24.75" customHeight="1">
      <c r="A40" s="3"/>
      <c r="B40" s="31" t="s">
        <v>49</v>
      </c>
      <c r="C40" s="31" t="s">
        <v>50</v>
      </c>
      <c r="D40" s="31" t="s">
        <v>51</v>
      </c>
      <c r="E40" s="49" t="s">
        <v>81</v>
      </c>
      <c r="F40" s="33">
        <f>G40+H40+I40+J40</f>
        <v>0</v>
      </c>
      <c r="G40" s="33">
        <v>0</v>
      </c>
      <c r="H40" s="33">
        <v>0</v>
      </c>
      <c r="I40" s="33">
        <v>0</v>
      </c>
      <c r="J40" s="33">
        <v>0</v>
      </c>
      <c r="K40" s="45">
        <f>L40+O40</f>
        <v>3659174.3599999994</v>
      </c>
      <c r="L40" s="33">
        <v>0</v>
      </c>
      <c r="M40" s="33">
        <v>0</v>
      </c>
      <c r="N40" s="33">
        <v>0</v>
      </c>
      <c r="O40" s="33">
        <f>P40</f>
        <v>3659174.3599999994</v>
      </c>
      <c r="P40" s="33">
        <f>2085027+73650+1064000+170811.36+426928+400000+35000+10500+7350+25000-60000+216000-2135892+1340800</f>
        <v>3659174.3599999994</v>
      </c>
      <c r="Q40" s="34">
        <f t="shared" si="6"/>
        <v>3659174.3599999994</v>
      </c>
    </row>
    <row r="41" spans="1:17" s="8" customFormat="1" ht="12.75">
      <c r="A41" s="3"/>
      <c r="B41" s="31" t="s">
        <v>55</v>
      </c>
      <c r="C41" s="31" t="s">
        <v>53</v>
      </c>
      <c r="D41" s="31" t="s">
        <v>54</v>
      </c>
      <c r="E41" s="44" t="s">
        <v>82</v>
      </c>
      <c r="F41" s="33">
        <f>G41+H41+I41+J41</f>
        <v>2619640</v>
      </c>
      <c r="G41" s="45">
        <f>12773840-131800-22400-10000000</f>
        <v>2619640</v>
      </c>
      <c r="H41" s="45">
        <v>0</v>
      </c>
      <c r="I41" s="45">
        <v>0</v>
      </c>
      <c r="J41" s="45">
        <v>0</v>
      </c>
      <c r="K41" s="45">
        <f>L41+O41</f>
        <v>2115427.52</v>
      </c>
      <c r="L41" s="45">
        <v>0</v>
      </c>
      <c r="M41" s="45">
        <v>0</v>
      </c>
      <c r="N41" s="45">
        <v>0</v>
      </c>
      <c r="O41" s="45">
        <f>P41</f>
        <v>2115427.52</v>
      </c>
      <c r="P41" s="45">
        <f>2500000-426929+40356.52+2000</f>
        <v>2115427.52</v>
      </c>
      <c r="Q41" s="34">
        <f t="shared" si="6"/>
        <v>4735067.52</v>
      </c>
    </row>
    <row r="42" spans="1:17" s="8" customFormat="1" ht="25.5">
      <c r="A42" s="3"/>
      <c r="B42" s="31" t="s">
        <v>268</v>
      </c>
      <c r="C42" s="31"/>
      <c r="D42" s="31"/>
      <c r="E42" s="44" t="s">
        <v>273</v>
      </c>
      <c r="F42" s="33">
        <f>F43</f>
        <v>0</v>
      </c>
      <c r="G42" s="33">
        <f aca="true" t="shared" si="7" ref="G42:P42">G43</f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83291.86</v>
      </c>
      <c r="L42" s="33">
        <f t="shared" si="7"/>
        <v>0</v>
      </c>
      <c r="M42" s="33">
        <f t="shared" si="7"/>
        <v>0</v>
      </c>
      <c r="N42" s="33">
        <f t="shared" si="7"/>
        <v>0</v>
      </c>
      <c r="O42" s="33">
        <f t="shared" si="7"/>
        <v>83291.86</v>
      </c>
      <c r="P42" s="33">
        <f t="shared" si="7"/>
        <v>0</v>
      </c>
      <c r="Q42" s="34">
        <f t="shared" si="6"/>
        <v>83291.86</v>
      </c>
    </row>
    <row r="43" spans="1:17" s="8" customFormat="1" ht="12.75">
      <c r="A43" s="3"/>
      <c r="B43" s="31" t="s">
        <v>269</v>
      </c>
      <c r="C43" s="31" t="s">
        <v>270</v>
      </c>
      <c r="D43" s="31" t="s">
        <v>272</v>
      </c>
      <c r="E43" s="44" t="s">
        <v>271</v>
      </c>
      <c r="F43" s="33">
        <v>0</v>
      </c>
      <c r="G43" s="45">
        <v>0</v>
      </c>
      <c r="H43" s="45">
        <v>0</v>
      </c>
      <c r="I43" s="45">
        <v>0</v>
      </c>
      <c r="J43" s="45">
        <v>0</v>
      </c>
      <c r="K43" s="45">
        <f>L43+O43</f>
        <v>83291.86</v>
      </c>
      <c r="L43" s="45">
        <v>0</v>
      </c>
      <c r="M43" s="45">
        <v>0</v>
      </c>
      <c r="N43" s="45">
        <v>0</v>
      </c>
      <c r="O43" s="45">
        <v>83291.86</v>
      </c>
      <c r="P43" s="45">
        <v>0</v>
      </c>
      <c r="Q43" s="34">
        <f t="shared" si="6"/>
        <v>83291.86</v>
      </c>
    </row>
    <row r="44" spans="1:17" s="8" customFormat="1" ht="17.25" customHeight="1">
      <c r="A44" s="3"/>
      <c r="B44" s="31" t="s">
        <v>57</v>
      </c>
      <c r="C44" s="31" t="s">
        <v>58</v>
      </c>
      <c r="D44" s="31" t="s">
        <v>59</v>
      </c>
      <c r="E44" s="44" t="s">
        <v>17</v>
      </c>
      <c r="F44" s="33">
        <f>G44</f>
        <v>0</v>
      </c>
      <c r="G44" s="45">
        <v>0</v>
      </c>
      <c r="H44" s="45">
        <v>0</v>
      </c>
      <c r="I44" s="45">
        <v>0</v>
      </c>
      <c r="J44" s="45">
        <v>0</v>
      </c>
      <c r="K44" s="45">
        <f>L44</f>
        <v>103685.04</v>
      </c>
      <c r="L44" s="45">
        <f>21000+82685.04</f>
        <v>103685.04</v>
      </c>
      <c r="M44" s="45">
        <v>0</v>
      </c>
      <c r="N44" s="45">
        <v>0</v>
      </c>
      <c r="O44" s="45">
        <v>0</v>
      </c>
      <c r="P44" s="45">
        <v>0</v>
      </c>
      <c r="Q44" s="34">
        <f t="shared" si="6"/>
        <v>103685.04</v>
      </c>
    </row>
    <row r="45" spans="1:17" s="8" customFormat="1" ht="9" customHeight="1" hidden="1">
      <c r="A45" s="3"/>
      <c r="B45" s="31"/>
      <c r="C45" s="31"/>
      <c r="D45" s="31"/>
      <c r="E45" s="44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4"/>
    </row>
    <row r="46" spans="1:17" s="8" customFormat="1" ht="9" customHeight="1" hidden="1">
      <c r="A46" s="3"/>
      <c r="B46" s="31"/>
      <c r="C46" s="31"/>
      <c r="D46" s="31"/>
      <c r="E46" s="44"/>
      <c r="F46" s="33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4"/>
    </row>
    <row r="47" spans="1:17" s="8" customFormat="1" ht="45.75" customHeight="1">
      <c r="A47" s="3"/>
      <c r="B47" s="31" t="s">
        <v>60</v>
      </c>
      <c r="C47" s="31" t="s">
        <v>61</v>
      </c>
      <c r="D47" s="31" t="s">
        <v>29</v>
      </c>
      <c r="E47" s="44" t="s">
        <v>18</v>
      </c>
      <c r="F47" s="33">
        <f>G47+H47+I47+J47</f>
        <v>0</v>
      </c>
      <c r="G47" s="33">
        <v>0</v>
      </c>
      <c r="H47" s="33">
        <v>0</v>
      </c>
      <c r="I47" s="33">
        <v>0</v>
      </c>
      <c r="J47" s="33">
        <v>0</v>
      </c>
      <c r="K47" s="45">
        <f>L47+O47</f>
        <v>900727.24</v>
      </c>
      <c r="L47" s="33">
        <f>152960+454727.24</f>
        <v>607687.24</v>
      </c>
      <c r="M47" s="33">
        <v>0</v>
      </c>
      <c r="N47" s="33">
        <v>0</v>
      </c>
      <c r="O47" s="33">
        <v>293040</v>
      </c>
      <c r="P47" s="33">
        <v>0</v>
      </c>
      <c r="Q47" s="34">
        <f>F47+K47</f>
        <v>900727.24</v>
      </c>
    </row>
    <row r="48" spans="1:17" s="8" customFormat="1" ht="153" customHeight="1">
      <c r="A48" s="3"/>
      <c r="B48" s="31" t="s">
        <v>88</v>
      </c>
      <c r="C48" s="31" t="s">
        <v>89</v>
      </c>
      <c r="D48" s="31"/>
      <c r="E48" s="44" t="s">
        <v>90</v>
      </c>
      <c r="F48" s="33">
        <f>F49</f>
        <v>545000</v>
      </c>
      <c r="G48" s="33">
        <f aca="true" t="shared" si="8" ref="G48:Q48">G49</f>
        <v>545000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45">
        <f>L48</f>
        <v>0</v>
      </c>
      <c r="L48" s="33">
        <f t="shared" si="8"/>
        <v>0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4">
        <f t="shared" si="8"/>
        <v>545000</v>
      </c>
    </row>
    <row r="49" spans="1:17" s="8" customFormat="1" ht="49.5" customHeight="1">
      <c r="A49" s="3"/>
      <c r="B49" s="31" t="s">
        <v>62</v>
      </c>
      <c r="C49" s="31" t="s">
        <v>63</v>
      </c>
      <c r="D49" s="31" t="s">
        <v>64</v>
      </c>
      <c r="E49" s="44" t="s">
        <v>19</v>
      </c>
      <c r="F49" s="33">
        <f>G49+H49+I49+J49</f>
        <v>545000</v>
      </c>
      <c r="G49" s="33">
        <f>350000+75000+120000</f>
        <v>545000</v>
      </c>
      <c r="H49" s="33">
        <v>0</v>
      </c>
      <c r="I49" s="33">
        <v>0</v>
      </c>
      <c r="J49" s="33">
        <v>0</v>
      </c>
      <c r="K49" s="45">
        <f>L49</f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f>F49+K49</f>
        <v>545000</v>
      </c>
    </row>
    <row r="50" spans="1:17" s="8" customFormat="1" ht="12.75">
      <c r="A50" s="3"/>
      <c r="B50" s="42"/>
      <c r="C50" s="31"/>
      <c r="D50" s="31"/>
      <c r="E50" s="46"/>
      <c r="F50" s="33"/>
      <c r="G50" s="33"/>
      <c r="H50" s="33"/>
      <c r="I50" s="33"/>
      <c r="J50" s="33"/>
      <c r="K50" s="45"/>
      <c r="L50" s="33"/>
      <c r="M50" s="33"/>
      <c r="N50" s="33"/>
      <c r="O50" s="33"/>
      <c r="P50" s="33"/>
      <c r="Q50" s="34"/>
    </row>
    <row r="51" spans="1:17" s="8" customFormat="1" ht="25.5">
      <c r="A51" s="3"/>
      <c r="B51" s="42" t="s">
        <v>243</v>
      </c>
      <c r="C51" s="42"/>
      <c r="D51" s="42"/>
      <c r="E51" s="47" t="s">
        <v>262</v>
      </c>
      <c r="F51" s="34">
        <f>F52</f>
        <v>42702431.9</v>
      </c>
      <c r="G51" s="34">
        <f aca="true" t="shared" si="9" ref="G51:Q51">G52</f>
        <v>42702431.9</v>
      </c>
      <c r="H51" s="34">
        <f t="shared" si="9"/>
        <v>28021624.65</v>
      </c>
      <c r="I51" s="34">
        <f t="shared" si="9"/>
        <v>3460190.4299999997</v>
      </c>
      <c r="J51" s="34">
        <f t="shared" si="9"/>
        <v>0</v>
      </c>
      <c r="K51" s="34">
        <f t="shared" si="9"/>
        <v>2800780.73</v>
      </c>
      <c r="L51" s="34">
        <f t="shared" si="9"/>
        <v>614387.73</v>
      </c>
      <c r="M51" s="34">
        <f t="shared" si="9"/>
        <v>0</v>
      </c>
      <c r="N51" s="34">
        <f t="shared" si="9"/>
        <v>0</v>
      </c>
      <c r="O51" s="34">
        <f t="shared" si="9"/>
        <v>2186393</v>
      </c>
      <c r="P51" s="34">
        <f t="shared" si="9"/>
        <v>2186393</v>
      </c>
      <c r="Q51" s="34">
        <f t="shared" si="9"/>
        <v>45503212.629999995</v>
      </c>
    </row>
    <row r="52" spans="1:17" s="8" customFormat="1" ht="25.5">
      <c r="A52" s="3"/>
      <c r="B52" s="42" t="s">
        <v>245</v>
      </c>
      <c r="C52" s="42"/>
      <c r="D52" s="42"/>
      <c r="E52" s="47" t="s">
        <v>244</v>
      </c>
      <c r="F52" s="34">
        <f aca="true" t="shared" si="10" ref="F52:Q52">F53+F55+F56+F59+F62+F57+F61+F58+F60</f>
        <v>42702431.9</v>
      </c>
      <c r="G52" s="34">
        <f t="shared" si="10"/>
        <v>42702431.9</v>
      </c>
      <c r="H52" s="34">
        <f t="shared" si="10"/>
        <v>28021624.65</v>
      </c>
      <c r="I52" s="34">
        <f t="shared" si="10"/>
        <v>3460190.4299999997</v>
      </c>
      <c r="J52" s="34">
        <f t="shared" si="10"/>
        <v>0</v>
      </c>
      <c r="K52" s="34">
        <f t="shared" si="10"/>
        <v>2800780.73</v>
      </c>
      <c r="L52" s="34">
        <f t="shared" si="10"/>
        <v>614387.73</v>
      </c>
      <c r="M52" s="34">
        <f t="shared" si="10"/>
        <v>0</v>
      </c>
      <c r="N52" s="34">
        <f t="shared" si="10"/>
        <v>0</v>
      </c>
      <c r="O52" s="34">
        <f t="shared" si="10"/>
        <v>2186393</v>
      </c>
      <c r="P52" s="34">
        <f t="shared" si="10"/>
        <v>2186393</v>
      </c>
      <c r="Q52" s="34">
        <f t="shared" si="10"/>
        <v>45503212.629999995</v>
      </c>
    </row>
    <row r="53" spans="1:17" s="8" customFormat="1" ht="36.75" customHeight="1">
      <c r="A53" s="3"/>
      <c r="B53" s="42" t="s">
        <v>246</v>
      </c>
      <c r="C53" s="42" t="s">
        <v>67</v>
      </c>
      <c r="D53" s="42" t="s">
        <v>33</v>
      </c>
      <c r="E53" s="47" t="s">
        <v>267</v>
      </c>
      <c r="F53" s="33">
        <f>G53</f>
        <v>446348</v>
      </c>
      <c r="G53" s="33">
        <f>219083+211749+15516</f>
        <v>446348</v>
      </c>
      <c r="H53" s="34">
        <f>149000+107200+12800</f>
        <v>269000</v>
      </c>
      <c r="I53" s="34">
        <f>2200+2700</f>
        <v>4900</v>
      </c>
      <c r="J53" s="34">
        <v>0</v>
      </c>
      <c r="K53" s="45">
        <v>0</v>
      </c>
      <c r="L53" s="33">
        <v>0</v>
      </c>
      <c r="M53" s="33">
        <v>0</v>
      </c>
      <c r="N53" s="33">
        <v>0</v>
      </c>
      <c r="O53" s="33">
        <f>P53</f>
        <v>0</v>
      </c>
      <c r="P53" s="33">
        <v>0</v>
      </c>
      <c r="Q53" s="34">
        <f aca="true" t="shared" si="11" ref="Q53:Q63">F53+K53</f>
        <v>446348</v>
      </c>
    </row>
    <row r="54" spans="1:17" s="8" customFormat="1" ht="27" customHeight="1">
      <c r="A54" s="3"/>
      <c r="B54" s="42" t="s">
        <v>263</v>
      </c>
      <c r="C54" s="42"/>
      <c r="D54" s="42"/>
      <c r="E54" s="47" t="s">
        <v>266</v>
      </c>
      <c r="F54" s="34">
        <f>F55</f>
        <v>829909</v>
      </c>
      <c r="G54" s="34">
        <f aca="true" t="shared" si="12" ref="G54:Q54">G55</f>
        <v>829909</v>
      </c>
      <c r="H54" s="34">
        <f t="shared" si="12"/>
        <v>617900</v>
      </c>
      <c r="I54" s="34">
        <f t="shared" si="12"/>
        <v>19000</v>
      </c>
      <c r="J54" s="34">
        <f t="shared" si="12"/>
        <v>0</v>
      </c>
      <c r="K54" s="34">
        <f t="shared" si="12"/>
        <v>0</v>
      </c>
      <c r="L54" s="34">
        <f t="shared" si="12"/>
        <v>0</v>
      </c>
      <c r="M54" s="34">
        <f t="shared" si="12"/>
        <v>0</v>
      </c>
      <c r="N54" s="34">
        <f t="shared" si="12"/>
        <v>0</v>
      </c>
      <c r="O54" s="34">
        <f t="shared" si="12"/>
        <v>0</v>
      </c>
      <c r="P54" s="34">
        <f t="shared" si="12"/>
        <v>0</v>
      </c>
      <c r="Q54" s="34">
        <f t="shared" si="12"/>
        <v>829909</v>
      </c>
    </row>
    <row r="55" spans="1:17" s="8" customFormat="1" ht="25.5">
      <c r="A55" s="3"/>
      <c r="B55" s="31" t="s">
        <v>247</v>
      </c>
      <c r="C55" s="31" t="s">
        <v>264</v>
      </c>
      <c r="D55" s="31" t="s">
        <v>265</v>
      </c>
      <c r="E55" s="44" t="s">
        <v>132</v>
      </c>
      <c r="F55" s="33">
        <f>G55+J55</f>
        <v>829909</v>
      </c>
      <c r="G55" s="33">
        <f>426100+30000+2000+25000+323131+23678</f>
        <v>829909</v>
      </c>
      <c r="H55" s="33">
        <f>342800+255600+19500</f>
        <v>617900</v>
      </c>
      <c r="I55" s="33">
        <f>7800+11200</f>
        <v>19000</v>
      </c>
      <c r="J55" s="33">
        <v>0</v>
      </c>
      <c r="K55" s="45">
        <f>L55+O55</f>
        <v>0</v>
      </c>
      <c r="L55" s="33">
        <v>0</v>
      </c>
      <c r="M55" s="33">
        <v>0</v>
      </c>
      <c r="N55" s="33">
        <v>0</v>
      </c>
      <c r="O55" s="33">
        <f>P55</f>
        <v>0</v>
      </c>
      <c r="P55" s="33">
        <v>0</v>
      </c>
      <c r="Q55" s="34">
        <f t="shared" si="11"/>
        <v>829909</v>
      </c>
    </row>
    <row r="56" spans="1:17" s="8" customFormat="1" ht="19.5" customHeight="1">
      <c r="A56" s="3"/>
      <c r="B56" s="31" t="s">
        <v>248</v>
      </c>
      <c r="C56" s="31" t="s">
        <v>36</v>
      </c>
      <c r="D56" s="31" t="s">
        <v>37</v>
      </c>
      <c r="E56" s="44" t="s">
        <v>35</v>
      </c>
      <c r="F56" s="33">
        <f aca="true" t="shared" si="13" ref="F56:F61">G56</f>
        <v>16969614.9</v>
      </c>
      <c r="G56" s="33">
        <f>15386662.9+16000+10000+8000+25000+227000+3500+5000+1144582+60000+83870</f>
        <v>16969614.9</v>
      </c>
      <c r="H56" s="33">
        <f>9376713.65+489675</f>
        <v>9866388.65</v>
      </c>
      <c r="I56" s="33">
        <f>2016614.43+126000</f>
        <v>2142614.4299999997</v>
      </c>
      <c r="J56" s="33">
        <v>0</v>
      </c>
      <c r="K56" s="45">
        <f>L56+O56</f>
        <v>1142920.73</v>
      </c>
      <c r="L56" s="33">
        <v>614387.73</v>
      </c>
      <c r="M56" s="33">
        <v>0</v>
      </c>
      <c r="N56" s="33">
        <v>0</v>
      </c>
      <c r="O56" s="33">
        <f>P56</f>
        <v>528533</v>
      </c>
      <c r="P56" s="33">
        <v>528533</v>
      </c>
      <c r="Q56" s="34">
        <f t="shared" si="11"/>
        <v>18112535.63</v>
      </c>
    </row>
    <row r="57" spans="1:17" s="8" customFormat="1" ht="53.25" customHeight="1">
      <c r="A57" s="3"/>
      <c r="B57" s="140" t="s">
        <v>278</v>
      </c>
      <c r="C57" s="140" t="s">
        <v>275</v>
      </c>
      <c r="D57" s="140" t="s">
        <v>276</v>
      </c>
      <c r="E57" s="147" t="s">
        <v>277</v>
      </c>
      <c r="F57" s="119">
        <f t="shared" si="13"/>
        <v>21440402</v>
      </c>
      <c r="G57" s="119">
        <f>100000+4000+2958358+14215030+3746238+216776+200000</f>
        <v>21440402</v>
      </c>
      <c r="H57" s="119">
        <f>430865+11651660+3070617</f>
        <v>15153142</v>
      </c>
      <c r="I57" s="119">
        <v>1199576</v>
      </c>
      <c r="J57" s="119">
        <v>0</v>
      </c>
      <c r="K57" s="119">
        <f>O57</f>
        <v>1657860</v>
      </c>
      <c r="L57" s="119">
        <v>0</v>
      </c>
      <c r="M57" s="119">
        <v>0</v>
      </c>
      <c r="N57" s="119">
        <v>0</v>
      </c>
      <c r="O57" s="119">
        <f>P57</f>
        <v>1657860</v>
      </c>
      <c r="P57" s="119">
        <f>1391300+1391360+216000-1340800</f>
        <v>1657860</v>
      </c>
      <c r="Q57" s="132">
        <f t="shared" si="11"/>
        <v>23098262</v>
      </c>
    </row>
    <row r="58" spans="1:17" s="8" customFormat="1" ht="23.25" customHeight="1">
      <c r="A58" s="3"/>
      <c r="B58" s="140" t="s">
        <v>292</v>
      </c>
      <c r="C58" s="140" t="s">
        <v>293</v>
      </c>
      <c r="D58" s="140" t="s">
        <v>276</v>
      </c>
      <c r="E58" s="147" t="s">
        <v>294</v>
      </c>
      <c r="F58" s="119">
        <f t="shared" si="13"/>
        <v>203559</v>
      </c>
      <c r="G58" s="119">
        <f>14478+167870+20150+1061</f>
        <v>203559</v>
      </c>
      <c r="H58" s="119">
        <f>10260+137600+16500</f>
        <v>164360</v>
      </c>
      <c r="I58" s="119">
        <v>0</v>
      </c>
      <c r="J58" s="119">
        <v>0</v>
      </c>
      <c r="K58" s="119">
        <f>O58</f>
        <v>0</v>
      </c>
      <c r="L58" s="119">
        <v>0</v>
      </c>
      <c r="M58" s="119">
        <v>0</v>
      </c>
      <c r="N58" s="119">
        <v>0</v>
      </c>
      <c r="O58" s="119">
        <f>P58</f>
        <v>0</v>
      </c>
      <c r="P58" s="119">
        <v>0</v>
      </c>
      <c r="Q58" s="132">
        <f>F58+K58</f>
        <v>203559</v>
      </c>
    </row>
    <row r="59" spans="1:17" s="8" customFormat="1" ht="30.75" customHeight="1">
      <c r="A59" s="3"/>
      <c r="B59" s="31" t="s">
        <v>249</v>
      </c>
      <c r="C59" s="31" t="s">
        <v>40</v>
      </c>
      <c r="D59" s="31" t="s">
        <v>227</v>
      </c>
      <c r="E59" s="44" t="s">
        <v>229</v>
      </c>
      <c r="F59" s="33">
        <f t="shared" si="13"/>
        <v>2665053</v>
      </c>
      <c r="G59" s="33">
        <f>1202580+60000+1306722+95751</f>
        <v>2665053</v>
      </c>
      <c r="H59" s="33">
        <f>921000+946624</f>
        <v>1867624</v>
      </c>
      <c r="I59" s="33">
        <f>11400+80480</f>
        <v>91880</v>
      </c>
      <c r="J59" s="33">
        <v>0</v>
      </c>
      <c r="K59" s="45">
        <f>L59+O59</f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4">
        <f t="shared" si="11"/>
        <v>2665053</v>
      </c>
    </row>
    <row r="60" spans="1:17" s="8" customFormat="1" ht="30.75" customHeight="1">
      <c r="A60" s="3"/>
      <c r="B60" s="31" t="s">
        <v>295</v>
      </c>
      <c r="C60" s="31" t="s">
        <v>298</v>
      </c>
      <c r="D60" s="31" t="s">
        <v>297</v>
      </c>
      <c r="E60" s="44" t="s">
        <v>296</v>
      </c>
      <c r="F60" s="33">
        <f t="shared" si="13"/>
        <v>123964</v>
      </c>
      <c r="G60" s="33">
        <f>115501+8463</f>
        <v>123964</v>
      </c>
      <c r="H60" s="33">
        <v>83210</v>
      </c>
      <c r="I60" s="33">
        <v>2220</v>
      </c>
      <c r="J60" s="33">
        <v>0</v>
      </c>
      <c r="K60" s="45">
        <f>L60+O60</f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f>F60+K60</f>
        <v>123964</v>
      </c>
    </row>
    <row r="61" spans="1:17" s="8" customFormat="1" ht="39" customHeight="1">
      <c r="A61" s="3"/>
      <c r="B61" s="31" t="s">
        <v>299</v>
      </c>
      <c r="C61" s="31" t="s">
        <v>301</v>
      </c>
      <c r="D61" s="31" t="s">
        <v>297</v>
      </c>
      <c r="E61" s="49" t="s">
        <v>300</v>
      </c>
      <c r="F61" s="33">
        <f t="shared" si="13"/>
        <v>10860</v>
      </c>
      <c r="G61" s="33">
        <v>10860</v>
      </c>
      <c r="H61" s="33">
        <v>0</v>
      </c>
      <c r="I61" s="33">
        <v>0</v>
      </c>
      <c r="J61" s="33">
        <v>0</v>
      </c>
      <c r="K61" s="45">
        <f>L61+O61</f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4">
        <f>F61+K61</f>
        <v>10860</v>
      </c>
    </row>
    <row r="62" spans="1:17" s="8" customFormat="1" ht="21" customHeight="1">
      <c r="A62" s="3"/>
      <c r="B62" s="31" t="s">
        <v>250</v>
      </c>
      <c r="C62" s="31" t="s">
        <v>123</v>
      </c>
      <c r="D62" s="31"/>
      <c r="E62" s="49" t="s">
        <v>115</v>
      </c>
      <c r="F62" s="33">
        <f>F63</f>
        <v>12722</v>
      </c>
      <c r="G62" s="33">
        <f aca="true" t="shared" si="14" ref="G62:P62">G63</f>
        <v>12722</v>
      </c>
      <c r="H62" s="33">
        <f t="shared" si="14"/>
        <v>0</v>
      </c>
      <c r="I62" s="33">
        <f t="shared" si="14"/>
        <v>0</v>
      </c>
      <c r="J62" s="33">
        <f t="shared" si="14"/>
        <v>0</v>
      </c>
      <c r="K62" s="33">
        <f t="shared" si="14"/>
        <v>0</v>
      </c>
      <c r="L62" s="33">
        <f t="shared" si="14"/>
        <v>0</v>
      </c>
      <c r="M62" s="33">
        <f t="shared" si="14"/>
        <v>0</v>
      </c>
      <c r="N62" s="33">
        <f t="shared" si="14"/>
        <v>0</v>
      </c>
      <c r="O62" s="33">
        <f t="shared" si="14"/>
        <v>0</v>
      </c>
      <c r="P62" s="33">
        <f t="shared" si="14"/>
        <v>0</v>
      </c>
      <c r="Q62" s="34">
        <f t="shared" si="11"/>
        <v>12722</v>
      </c>
    </row>
    <row r="63" spans="1:17" s="8" customFormat="1" ht="51.75" customHeight="1">
      <c r="A63" s="3"/>
      <c r="B63" s="28" t="s">
        <v>251</v>
      </c>
      <c r="C63" s="31" t="s">
        <v>119</v>
      </c>
      <c r="D63" s="31" t="s">
        <v>118</v>
      </c>
      <c r="E63" s="44" t="s">
        <v>120</v>
      </c>
      <c r="F63" s="33">
        <f>G63+H63+I63+J63</f>
        <v>12722</v>
      </c>
      <c r="G63" s="33">
        <v>12722</v>
      </c>
      <c r="H63" s="33">
        <v>0</v>
      </c>
      <c r="I63" s="33">
        <v>0</v>
      </c>
      <c r="J63" s="33">
        <v>0</v>
      </c>
      <c r="K63" s="45">
        <f>L63+O63</f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f t="shared" si="11"/>
        <v>12722</v>
      </c>
    </row>
    <row r="64" s="8" customFormat="1" ht="12.75">
      <c r="A64" s="3"/>
    </row>
    <row r="65" spans="1:17" s="8" customFormat="1" ht="1.5" customHeight="1">
      <c r="A65" s="3"/>
      <c r="B65" s="28"/>
      <c r="C65" s="31"/>
      <c r="D65" s="31"/>
      <c r="E65" s="46"/>
      <c r="F65" s="33"/>
      <c r="G65" s="33"/>
      <c r="H65" s="33"/>
      <c r="I65" s="33"/>
      <c r="J65" s="33"/>
      <c r="K65" s="45">
        <f>L65+O65</f>
        <v>0</v>
      </c>
      <c r="L65" s="33"/>
      <c r="M65" s="33"/>
      <c r="N65" s="33"/>
      <c r="O65" s="33"/>
      <c r="P65" s="33"/>
      <c r="Q65" s="34"/>
    </row>
    <row r="66" spans="1:17" s="8" customFormat="1" ht="25.5">
      <c r="A66" s="3"/>
      <c r="B66" s="29" t="s">
        <v>252</v>
      </c>
      <c r="C66" s="42"/>
      <c r="D66" s="42"/>
      <c r="E66" s="47" t="s">
        <v>253</v>
      </c>
      <c r="F66" s="34">
        <f>F67</f>
        <v>6002081.140000001</v>
      </c>
      <c r="G66" s="34">
        <f aca="true" t="shared" si="15" ref="G66:Q66">G67</f>
        <v>6002081.140000001</v>
      </c>
      <c r="H66" s="34">
        <f t="shared" si="15"/>
        <v>4499001.38</v>
      </c>
      <c r="I66" s="34">
        <f t="shared" si="15"/>
        <v>273156</v>
      </c>
      <c r="J66" s="34">
        <f t="shared" si="15"/>
        <v>0</v>
      </c>
      <c r="K66" s="34">
        <f t="shared" si="15"/>
        <v>0</v>
      </c>
      <c r="L66" s="34">
        <f t="shared" si="15"/>
        <v>0</v>
      </c>
      <c r="M66" s="34">
        <f t="shared" si="15"/>
        <v>0</v>
      </c>
      <c r="N66" s="34">
        <f t="shared" si="15"/>
        <v>0</v>
      </c>
      <c r="O66" s="34">
        <f t="shared" si="15"/>
        <v>0</v>
      </c>
      <c r="P66" s="34">
        <f t="shared" si="15"/>
        <v>0</v>
      </c>
      <c r="Q66" s="34">
        <f t="shared" si="15"/>
        <v>6002081.140000001</v>
      </c>
    </row>
    <row r="67" spans="1:17" s="8" customFormat="1" ht="25.5">
      <c r="A67" s="3"/>
      <c r="B67" s="29" t="s">
        <v>254</v>
      </c>
      <c r="C67" s="42"/>
      <c r="D67" s="42"/>
      <c r="E67" s="47" t="s">
        <v>253</v>
      </c>
      <c r="F67" s="34">
        <f>F68+F70+F71+F72+F73+F74</f>
        <v>6002081.140000001</v>
      </c>
      <c r="G67" s="34">
        <f aca="true" t="shared" si="16" ref="G67:Q67">G68+G70+G71+G72+G73+G74</f>
        <v>6002081.140000001</v>
      </c>
      <c r="H67" s="34">
        <f t="shared" si="16"/>
        <v>4499001.38</v>
      </c>
      <c r="I67" s="34">
        <f t="shared" si="16"/>
        <v>273156</v>
      </c>
      <c r="J67" s="34">
        <f t="shared" si="16"/>
        <v>0</v>
      </c>
      <c r="K67" s="34">
        <f t="shared" si="16"/>
        <v>0</v>
      </c>
      <c r="L67" s="34">
        <f t="shared" si="16"/>
        <v>0</v>
      </c>
      <c r="M67" s="34">
        <f t="shared" si="16"/>
        <v>0</v>
      </c>
      <c r="N67" s="34">
        <f t="shared" si="16"/>
        <v>0</v>
      </c>
      <c r="O67" s="34">
        <f t="shared" si="16"/>
        <v>0</v>
      </c>
      <c r="P67" s="34">
        <f t="shared" si="16"/>
        <v>0</v>
      </c>
      <c r="Q67" s="34">
        <f t="shared" si="16"/>
        <v>6002081.140000001</v>
      </c>
    </row>
    <row r="68" spans="1:17" s="8" customFormat="1" ht="36.75" customHeight="1">
      <c r="A68" s="3"/>
      <c r="B68" s="28" t="s">
        <v>255</v>
      </c>
      <c r="C68" s="31" t="s">
        <v>67</v>
      </c>
      <c r="D68" s="31" t="s">
        <v>33</v>
      </c>
      <c r="E68" s="44" t="s">
        <v>267</v>
      </c>
      <c r="F68" s="33">
        <f>G68</f>
        <v>266589</v>
      </c>
      <c r="G68" s="33">
        <f>151717+114017-7500+8355</f>
        <v>266589</v>
      </c>
      <c r="H68" s="33">
        <f>98300+88500+7000</f>
        <v>193800</v>
      </c>
      <c r="I68" s="33">
        <v>15500</v>
      </c>
      <c r="J68" s="33">
        <v>0</v>
      </c>
      <c r="K68" s="45">
        <f>L68+O68</f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4">
        <f>F68+K68</f>
        <v>266589</v>
      </c>
    </row>
    <row r="69" spans="1:17" s="8" customFormat="1" ht="12.75">
      <c r="A69" s="3"/>
      <c r="B69" s="29"/>
      <c r="C69" s="42"/>
      <c r="D69" s="42"/>
      <c r="E69" s="47"/>
      <c r="F69" s="33"/>
      <c r="G69" s="33"/>
      <c r="H69" s="33"/>
      <c r="I69" s="33"/>
      <c r="J69" s="33"/>
      <c r="K69" s="45"/>
      <c r="L69" s="33"/>
      <c r="M69" s="33"/>
      <c r="N69" s="33"/>
      <c r="O69" s="33"/>
      <c r="P69" s="33"/>
      <c r="Q69" s="34"/>
    </row>
    <row r="70" spans="1:17" s="8" customFormat="1" ht="12.75">
      <c r="A70" s="3"/>
      <c r="B70" s="28" t="s">
        <v>256</v>
      </c>
      <c r="C70" s="31" t="s">
        <v>83</v>
      </c>
      <c r="D70" s="31" t="s">
        <v>85</v>
      </c>
      <c r="E70" s="44" t="s">
        <v>86</v>
      </c>
      <c r="F70" s="33">
        <f>G70</f>
        <v>1017045.06</v>
      </c>
      <c r="G70" s="33">
        <f>138047.06+375600+15000+456777-1850+33471</f>
        <v>1017045.06</v>
      </c>
      <c r="H70" s="33">
        <f>750800.4+27500</f>
        <v>778300.4</v>
      </c>
      <c r="I70" s="33">
        <v>15311</v>
      </c>
      <c r="J70" s="33">
        <v>0</v>
      </c>
      <c r="K70" s="45">
        <f>L70+O70</f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f>F70+K70</f>
        <v>1017045.06</v>
      </c>
    </row>
    <row r="71" spans="1:17" s="8" customFormat="1" ht="12.75">
      <c r="A71" s="3"/>
      <c r="B71" s="28" t="s">
        <v>257</v>
      </c>
      <c r="C71" s="31" t="s">
        <v>228</v>
      </c>
      <c r="D71" s="31" t="s">
        <v>85</v>
      </c>
      <c r="E71" s="44" t="s">
        <v>230</v>
      </c>
      <c r="F71" s="33">
        <f>G71</f>
        <v>61719</v>
      </c>
      <c r="G71" s="33">
        <f>21030+38237-350+2802</f>
        <v>61719</v>
      </c>
      <c r="H71" s="33">
        <f>34400+2300</f>
        <v>36700</v>
      </c>
      <c r="I71" s="33">
        <v>13943</v>
      </c>
      <c r="J71" s="33">
        <v>0</v>
      </c>
      <c r="K71" s="45">
        <f>L71+O71</f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f>F71+K71</f>
        <v>61719</v>
      </c>
    </row>
    <row r="72" spans="1:17" s="8" customFormat="1" ht="25.5">
      <c r="A72" s="3"/>
      <c r="B72" s="31" t="s">
        <v>258</v>
      </c>
      <c r="C72" s="31" t="s">
        <v>46</v>
      </c>
      <c r="D72" s="31" t="s">
        <v>79</v>
      </c>
      <c r="E72" s="48" t="s">
        <v>80</v>
      </c>
      <c r="F72" s="33">
        <f>G72</f>
        <v>1321548.08</v>
      </c>
      <c r="G72" s="16">
        <f>492214.08+362500+6000+442229-13800+32405</f>
        <v>1321548.08</v>
      </c>
      <c r="H72" s="16">
        <f>910900.98+27000</f>
        <v>937900.98</v>
      </c>
      <c r="I72" s="16">
        <v>115439</v>
      </c>
      <c r="J72" s="16">
        <v>0</v>
      </c>
      <c r="K72" s="45">
        <f>L72+O72</f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34">
        <f>F72+K72</f>
        <v>1321548.08</v>
      </c>
    </row>
    <row r="73" spans="1:17" s="8" customFormat="1" ht="12.75">
      <c r="A73" s="3"/>
      <c r="B73" s="31" t="s">
        <v>259</v>
      </c>
      <c r="C73" s="31" t="s">
        <v>226</v>
      </c>
      <c r="D73" s="31" t="s">
        <v>227</v>
      </c>
      <c r="E73" s="48" t="s">
        <v>225</v>
      </c>
      <c r="F73" s="33">
        <f>G73</f>
        <v>2915242</v>
      </c>
      <c r="G73" s="16">
        <f>1891450+35000+924079-3000+67713</f>
        <v>2915242</v>
      </c>
      <c r="H73" s="16">
        <f>2190000+55300</f>
        <v>2245300</v>
      </c>
      <c r="I73" s="16">
        <v>88729</v>
      </c>
      <c r="J73" s="16">
        <v>0</v>
      </c>
      <c r="K73" s="45">
        <f>L73+O73</f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34">
        <f>F73+K73</f>
        <v>2915242</v>
      </c>
    </row>
    <row r="74" spans="1:17" s="8" customFormat="1" ht="17.25" customHeight="1">
      <c r="A74" s="3"/>
      <c r="B74" s="31" t="s">
        <v>260</v>
      </c>
      <c r="C74" s="31" t="s">
        <v>48</v>
      </c>
      <c r="D74" s="31" t="s">
        <v>87</v>
      </c>
      <c r="E74" s="49" t="s">
        <v>4</v>
      </c>
      <c r="F74" s="33">
        <f>G74</f>
        <v>419938</v>
      </c>
      <c r="G74" s="33">
        <f>122405+199500-122405+205854-500+15084</f>
        <v>419938</v>
      </c>
      <c r="H74" s="33">
        <f>294600+12400</f>
        <v>307000</v>
      </c>
      <c r="I74" s="33">
        <v>24234</v>
      </c>
      <c r="J74" s="33">
        <v>0</v>
      </c>
      <c r="K74" s="45">
        <f>L74+O74</f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f>F74+K74</f>
        <v>419938</v>
      </c>
    </row>
    <row r="75" s="8" customFormat="1" ht="12.75">
      <c r="A75" s="3"/>
    </row>
    <row r="76" spans="1:17" s="37" customFormat="1" ht="24.75" customHeight="1">
      <c r="A76" s="35"/>
      <c r="B76" s="38" t="s">
        <v>104</v>
      </c>
      <c r="C76" s="38"/>
      <c r="D76" s="38"/>
      <c r="E76" s="50" t="s">
        <v>107</v>
      </c>
      <c r="F76" s="34"/>
      <c r="G76" s="34"/>
      <c r="H76" s="34"/>
      <c r="I76" s="34"/>
      <c r="J76" s="34"/>
      <c r="K76" s="51"/>
      <c r="L76" s="34"/>
      <c r="M76" s="34"/>
      <c r="N76" s="34"/>
      <c r="O76" s="34"/>
      <c r="P76" s="34"/>
      <c r="Q76" s="34">
        <f>F76+K76</f>
        <v>0</v>
      </c>
    </row>
    <row r="77" spans="1:17" s="37" customFormat="1" ht="27" customHeight="1">
      <c r="A77" s="35"/>
      <c r="B77" s="38" t="s">
        <v>105</v>
      </c>
      <c r="C77" s="38"/>
      <c r="D77" s="38"/>
      <c r="E77" s="50" t="s">
        <v>107</v>
      </c>
      <c r="F77" s="34">
        <f>F78+F79+F81+F82+F84+F80+F85+F83</f>
        <v>64679733</v>
      </c>
      <c r="G77" s="34">
        <f aca="true" t="shared" si="17" ref="G77:Q77">G78+G79+G81+G82+G84+G80+G85+G83</f>
        <v>64646733</v>
      </c>
      <c r="H77" s="34">
        <f t="shared" si="17"/>
        <v>404500</v>
      </c>
      <c r="I77" s="34">
        <f t="shared" si="17"/>
        <v>6900</v>
      </c>
      <c r="J77" s="34">
        <f t="shared" si="17"/>
        <v>0</v>
      </c>
      <c r="K77" s="34">
        <f t="shared" si="17"/>
        <v>115643</v>
      </c>
      <c r="L77" s="34">
        <f t="shared" si="17"/>
        <v>0</v>
      </c>
      <c r="M77" s="34">
        <f t="shared" si="17"/>
        <v>0</v>
      </c>
      <c r="N77" s="34">
        <f t="shared" si="17"/>
        <v>0</v>
      </c>
      <c r="O77" s="34">
        <f t="shared" si="17"/>
        <v>115643</v>
      </c>
      <c r="P77" s="34">
        <f t="shared" si="17"/>
        <v>115643</v>
      </c>
      <c r="Q77" s="34">
        <f t="shared" si="17"/>
        <v>64795376</v>
      </c>
    </row>
    <row r="78" spans="1:17" s="8" customFormat="1" ht="70.5" customHeight="1">
      <c r="A78" s="3"/>
      <c r="B78" s="24" t="s">
        <v>106</v>
      </c>
      <c r="C78" s="24" t="s">
        <v>32</v>
      </c>
      <c r="D78" s="24" t="s">
        <v>33</v>
      </c>
      <c r="E78" s="49" t="s">
        <v>75</v>
      </c>
      <c r="F78" s="33">
        <f>G78+J78</f>
        <v>576859.53</v>
      </c>
      <c r="G78" s="33">
        <f>140000+90056+15600+298715+32488.53</f>
        <v>576859.53</v>
      </c>
      <c r="H78" s="33">
        <f>162500+215000+27000</f>
        <v>404500</v>
      </c>
      <c r="I78" s="33">
        <f>900+6000</f>
        <v>6900</v>
      </c>
      <c r="J78" s="33">
        <v>0</v>
      </c>
      <c r="K78" s="45">
        <f>O78</f>
        <v>25000</v>
      </c>
      <c r="L78" s="33">
        <v>0</v>
      </c>
      <c r="M78" s="33">
        <v>0</v>
      </c>
      <c r="N78" s="33">
        <v>0</v>
      </c>
      <c r="O78" s="33">
        <f>P78</f>
        <v>25000</v>
      </c>
      <c r="P78" s="33">
        <v>25000</v>
      </c>
      <c r="Q78" s="34">
        <f>F78+K78</f>
        <v>601859.53</v>
      </c>
    </row>
    <row r="79" spans="1:17" s="8" customFormat="1" ht="57" customHeight="1">
      <c r="A79" s="3"/>
      <c r="B79" s="31" t="s">
        <v>108</v>
      </c>
      <c r="C79" s="31" t="s">
        <v>71</v>
      </c>
      <c r="D79" s="31" t="s">
        <v>67</v>
      </c>
      <c r="E79" s="32" t="s">
        <v>70</v>
      </c>
      <c r="F79" s="33">
        <f>G79+H79+I79+J79</f>
        <v>4575112</v>
      </c>
      <c r="G79" s="33">
        <f>8341500-3766388</f>
        <v>4575112</v>
      </c>
      <c r="H79" s="33">
        <v>0</v>
      </c>
      <c r="I79" s="33">
        <v>0</v>
      </c>
      <c r="J79" s="33">
        <v>0</v>
      </c>
      <c r="K79" s="45">
        <f>L79</f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4">
        <f aca="true" t="shared" si="18" ref="Q79:Q85">F79+K79</f>
        <v>4575112</v>
      </c>
    </row>
    <row r="80" spans="1:17" s="8" customFormat="1" ht="42.75" customHeight="1">
      <c r="A80" s="3"/>
      <c r="B80" s="31" t="s">
        <v>114</v>
      </c>
      <c r="C80" s="31" t="s">
        <v>112</v>
      </c>
      <c r="D80" s="31" t="s">
        <v>67</v>
      </c>
      <c r="E80" s="40" t="s">
        <v>113</v>
      </c>
      <c r="F80" s="33">
        <f>G80</f>
        <v>68238</v>
      </c>
      <c r="G80" s="33">
        <f>12000+30000+26238</f>
        <v>68238</v>
      </c>
      <c r="H80" s="33">
        <v>0</v>
      </c>
      <c r="I80" s="33">
        <v>0</v>
      </c>
      <c r="J80" s="33">
        <v>0</v>
      </c>
      <c r="K80" s="45">
        <f>L80</f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4">
        <f t="shared" si="18"/>
        <v>68238</v>
      </c>
    </row>
    <row r="81" spans="1:17" s="8" customFormat="1" ht="27.75" customHeight="1">
      <c r="A81" s="3"/>
      <c r="B81" s="31" t="s">
        <v>109</v>
      </c>
      <c r="C81" s="31" t="s">
        <v>66</v>
      </c>
      <c r="D81" s="31" t="s">
        <v>67</v>
      </c>
      <c r="E81" s="44" t="s">
        <v>21</v>
      </c>
      <c r="F81" s="33">
        <f>G81+J81</f>
        <v>23065200</v>
      </c>
      <c r="G81" s="33">
        <f>37448100-14382900</f>
        <v>23065200</v>
      </c>
      <c r="H81" s="33">
        <v>0</v>
      </c>
      <c r="I81" s="33">
        <v>0</v>
      </c>
      <c r="J81" s="33">
        <v>0</v>
      </c>
      <c r="K81" s="45">
        <f>L81</f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4">
        <f t="shared" si="18"/>
        <v>23065200</v>
      </c>
    </row>
    <row r="82" spans="1:17" s="8" customFormat="1" ht="24" customHeight="1">
      <c r="A82" s="3"/>
      <c r="B82" s="31" t="s">
        <v>110</v>
      </c>
      <c r="C82" s="31" t="s">
        <v>68</v>
      </c>
      <c r="D82" s="31" t="s">
        <v>67</v>
      </c>
      <c r="E82" s="44" t="s">
        <v>22</v>
      </c>
      <c r="F82" s="33">
        <f>G82+J82</f>
        <v>22512700</v>
      </c>
      <c r="G82" s="33">
        <v>22512700</v>
      </c>
      <c r="H82" s="33">
        <v>0</v>
      </c>
      <c r="I82" s="33">
        <v>0</v>
      </c>
      <c r="J82" s="33">
        <v>0</v>
      </c>
      <c r="K82" s="45">
        <f>L82</f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4">
        <f t="shared" si="18"/>
        <v>22512700</v>
      </c>
    </row>
    <row r="83" spans="1:17" s="8" customFormat="1" ht="127.5" hidden="1">
      <c r="A83" s="3"/>
      <c r="B83" s="31" t="s">
        <v>307</v>
      </c>
      <c r="C83" s="31" t="s">
        <v>310</v>
      </c>
      <c r="D83" s="31" t="s">
        <v>309</v>
      </c>
      <c r="E83" s="44" t="s">
        <v>308</v>
      </c>
      <c r="F83" s="33">
        <f>G83+J83</f>
        <v>0</v>
      </c>
      <c r="G83" s="33">
        <v>0</v>
      </c>
      <c r="H83" s="33">
        <v>0</v>
      </c>
      <c r="I83" s="33">
        <v>0</v>
      </c>
      <c r="J83" s="33">
        <v>0</v>
      </c>
      <c r="K83" s="45">
        <f>L83</f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4">
        <f>F83+K83</f>
        <v>0</v>
      </c>
    </row>
    <row r="84" spans="1:17" s="8" customFormat="1" ht="21.75" customHeight="1">
      <c r="A84" s="3"/>
      <c r="B84" s="31" t="s">
        <v>111</v>
      </c>
      <c r="C84" s="31" t="s">
        <v>69</v>
      </c>
      <c r="D84" s="31" t="s">
        <v>67</v>
      </c>
      <c r="E84" s="44" t="s">
        <v>73</v>
      </c>
      <c r="F84" s="33">
        <f>G84+J84</f>
        <v>13848623.47</v>
      </c>
      <c r="G84" s="33">
        <f>9250044+141500+3753523+378000-90643+350000+1437460+27000-1508387.53+110127</f>
        <v>13848623.47</v>
      </c>
      <c r="H84" s="33">
        <v>0</v>
      </c>
      <c r="I84" s="33">
        <v>0</v>
      </c>
      <c r="J84" s="33">
        <v>0</v>
      </c>
      <c r="K84" s="144">
        <f>O84</f>
        <v>90643</v>
      </c>
      <c r="L84" s="145">
        <v>0</v>
      </c>
      <c r="M84" s="33">
        <v>0</v>
      </c>
      <c r="N84" s="33">
        <v>0</v>
      </c>
      <c r="O84" s="33">
        <f>P84</f>
        <v>90643</v>
      </c>
      <c r="P84" s="33">
        <v>90643</v>
      </c>
      <c r="Q84" s="34">
        <f>F84+K84</f>
        <v>13939266.47</v>
      </c>
    </row>
    <row r="85" spans="1:17" s="37" customFormat="1" ht="18.75" customHeight="1">
      <c r="A85" s="35"/>
      <c r="B85" s="38" t="s">
        <v>121</v>
      </c>
      <c r="C85" s="38" t="s">
        <v>28</v>
      </c>
      <c r="D85" s="38" t="s">
        <v>29</v>
      </c>
      <c r="E85" s="50" t="s">
        <v>20</v>
      </c>
      <c r="F85" s="34">
        <v>33000</v>
      </c>
      <c r="G85" s="34">
        <v>0</v>
      </c>
      <c r="H85" s="34">
        <v>0</v>
      </c>
      <c r="I85" s="34">
        <v>0</v>
      </c>
      <c r="J85" s="34">
        <v>0</v>
      </c>
      <c r="K85" s="51">
        <f>L85</f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f t="shared" si="18"/>
        <v>33000</v>
      </c>
    </row>
    <row r="86" spans="1:17" s="8" customFormat="1" ht="18.75" customHeight="1">
      <c r="A86" s="3"/>
      <c r="B86" s="31"/>
      <c r="C86" s="31"/>
      <c r="D86" s="31"/>
      <c r="E86" s="50" t="s">
        <v>5</v>
      </c>
      <c r="F86" s="34">
        <f>F77+F10+F51+F66</f>
        <v>134932356.31</v>
      </c>
      <c r="G86" s="34">
        <f>G77+G10+G51+G66</f>
        <v>131879522.00000001</v>
      </c>
      <c r="H86" s="34">
        <f>H77+H10+H51+H66</f>
        <v>42193340</v>
      </c>
      <c r="I86" s="34">
        <f>I77+I10+I51+I66</f>
        <v>4689438</v>
      </c>
      <c r="J86" s="34">
        <f>J77+J10+J51+J66+J14+J22</f>
        <v>3019834.31</v>
      </c>
      <c r="K86" s="34">
        <f>K77+K10+K51+K66+K22</f>
        <v>10219315.02</v>
      </c>
      <c r="L86" s="34">
        <f>L77+L10+L51+L66+L14+L22</f>
        <v>1591372.28</v>
      </c>
      <c r="M86" s="34">
        <f>M77+M10+M51+M66+M14+M22</f>
        <v>0</v>
      </c>
      <c r="N86" s="34">
        <f>N77+N10+N51+N66+N14+N22</f>
        <v>0</v>
      </c>
      <c r="O86" s="34">
        <f>O77+O10+O51+O66+O14+O22</f>
        <v>8627942.739999998</v>
      </c>
      <c r="P86" s="34">
        <f>P77+P10+P51+P66+P14+P22</f>
        <v>8251610.879999999</v>
      </c>
      <c r="Q86" s="34">
        <f>Q77+Q10+Q51+Q66</f>
        <v>145151671.32999998</v>
      </c>
    </row>
    <row r="87" ht="15" hidden="1"/>
    <row r="88" spans="2:17" ht="15" customHeight="1" hidden="1"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</row>
    <row r="89" spans="2:17" ht="16.5" customHeight="1" hidden="1"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</row>
    <row r="90" ht="15" hidden="1"/>
    <row r="91" spans="5:11" ht="44.25" customHeight="1">
      <c r="E91" s="307" t="s">
        <v>3</v>
      </c>
      <c r="F91" s="308"/>
      <c r="G91" s="52"/>
      <c r="H91" s="53"/>
      <c r="I91" s="93" t="s">
        <v>311</v>
      </c>
      <c r="J91" s="53"/>
      <c r="K91" s="39"/>
    </row>
  </sheetData>
  <sheetProtection/>
  <mergeCells count="26">
    <mergeCell ref="E91:F91"/>
    <mergeCell ref="F6:F8"/>
    <mergeCell ref="M6:N6"/>
    <mergeCell ref="B1:Q1"/>
    <mergeCell ref="M2:Q2"/>
    <mergeCell ref="B3:Q3"/>
    <mergeCell ref="B5:B8"/>
    <mergeCell ref="C5:C8"/>
    <mergeCell ref="E5:E8"/>
    <mergeCell ref="F5:J5"/>
    <mergeCell ref="K5:P5"/>
    <mergeCell ref="Q5:Q8"/>
    <mergeCell ref="H6:I6"/>
    <mergeCell ref="J6:J8"/>
    <mergeCell ref="K6:K8"/>
    <mergeCell ref="L6:L8"/>
    <mergeCell ref="D5:D8"/>
    <mergeCell ref="B88:Q88"/>
    <mergeCell ref="B89:Q89"/>
    <mergeCell ref="O6:O8"/>
    <mergeCell ref="H7:H8"/>
    <mergeCell ref="I7:I8"/>
    <mergeCell ref="M7:M8"/>
    <mergeCell ref="N7:N8"/>
    <mergeCell ref="P7:P8"/>
    <mergeCell ref="G6:G8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60" zoomScalePageLayoutView="0" workbookViewId="0" topLeftCell="D4">
      <selection activeCell="D5" sqref="D5:N5"/>
    </sheetView>
  </sheetViews>
  <sheetFormatPr defaultColWidth="9.16015625" defaultRowHeight="12.75"/>
  <cols>
    <col min="1" max="1" width="0.328125" style="148" hidden="1" customWidth="1"/>
    <col min="2" max="2" width="4.33203125" style="148" hidden="1" customWidth="1"/>
    <col min="3" max="3" width="1.171875" style="148" hidden="1" customWidth="1"/>
    <col min="4" max="4" width="18.16015625" style="148" customWidth="1"/>
    <col min="5" max="5" width="36.5" style="148" customWidth="1"/>
    <col min="6" max="6" width="22.83203125" style="148" hidden="1" customWidth="1"/>
    <col min="7" max="8" width="27" style="148" customWidth="1"/>
    <col min="9" max="9" width="25.5" style="150" customWidth="1"/>
    <col min="10" max="10" width="23.33203125" style="150" customWidth="1"/>
    <col min="11" max="11" width="24" style="150" customWidth="1"/>
    <col min="12" max="12" width="25.33203125" style="148" customWidth="1"/>
    <col min="13" max="14" width="22.83203125" style="148" hidden="1" customWidth="1"/>
    <col min="15" max="15" width="23.33203125" style="148" customWidth="1"/>
    <col min="16" max="16" width="18.66015625" style="148" customWidth="1"/>
    <col min="17" max="17" width="18.33203125" style="148" customWidth="1"/>
    <col min="18" max="18" width="21.33203125" style="148" customWidth="1"/>
    <col min="19" max="19" width="24.5" style="148" customWidth="1"/>
    <col min="20" max="20" width="21.33203125" style="148" customWidth="1"/>
    <col min="21" max="21" width="19.16015625" style="148" customWidth="1"/>
    <col min="22" max="22" width="19.33203125" style="148" customWidth="1"/>
    <col min="23" max="23" width="21.66015625" style="148" customWidth="1"/>
    <col min="24" max="24" width="19.33203125" style="148" customWidth="1"/>
    <col min="25" max="25" width="26.16015625" style="148" customWidth="1"/>
    <col min="26" max="26" width="37.33203125" style="148" customWidth="1"/>
    <col min="27" max="27" width="17.16015625" style="148" customWidth="1"/>
    <col min="28" max="28" width="20.16015625" style="148" customWidth="1"/>
    <col min="29" max="16384" width="9.16015625" style="148" customWidth="1"/>
  </cols>
  <sheetData>
    <row r="1" spans="4:5" ht="22.5" customHeight="1" hidden="1">
      <c r="D1" s="149"/>
      <c r="E1" s="149"/>
    </row>
    <row r="2" ht="12.75" hidden="1"/>
    <row r="3" ht="21.75" customHeight="1" hidden="1"/>
    <row r="4" spans="5:14" ht="63" customHeight="1">
      <c r="E4" s="151"/>
      <c r="F4" s="151"/>
      <c r="G4" s="151"/>
      <c r="H4" s="151"/>
      <c r="I4" s="283" t="s">
        <v>424</v>
      </c>
      <c r="J4" s="283"/>
      <c r="K4" s="283"/>
      <c r="L4" s="283"/>
      <c r="M4" s="283"/>
      <c r="N4" s="283"/>
    </row>
    <row r="5" spans="1:14" ht="67.5" customHeight="1">
      <c r="A5" s="152"/>
      <c r="B5" s="152"/>
      <c r="C5" s="152"/>
      <c r="D5" s="319" t="s">
        <v>312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8" customHeight="1">
      <c r="A6" s="152"/>
      <c r="B6" s="152"/>
      <c r="C6" s="152"/>
      <c r="D6" s="152"/>
      <c r="I6" s="153"/>
      <c r="K6" s="154"/>
      <c r="L6" s="155" t="s">
        <v>72</v>
      </c>
      <c r="M6" s="156"/>
      <c r="N6" s="157" t="s">
        <v>72</v>
      </c>
    </row>
    <row r="7" spans="1:14" s="162" customFormat="1" ht="48" customHeight="1">
      <c r="A7" s="158" t="s">
        <v>313</v>
      </c>
      <c r="B7" s="159" t="s">
        <v>314</v>
      </c>
      <c r="C7" s="160">
        <v>0</v>
      </c>
      <c r="D7" s="320" t="s">
        <v>315</v>
      </c>
      <c r="E7" s="320" t="s">
        <v>316</v>
      </c>
      <c r="F7" s="323" t="s">
        <v>317</v>
      </c>
      <c r="G7" s="324"/>
      <c r="H7" s="314" t="s">
        <v>318</v>
      </c>
      <c r="I7" s="315"/>
      <c r="J7" s="315"/>
      <c r="K7" s="316"/>
      <c r="L7" s="327" t="s">
        <v>0</v>
      </c>
      <c r="M7" s="161"/>
      <c r="N7" s="161"/>
    </row>
    <row r="8" spans="1:14" s="162" customFormat="1" ht="30.75" customHeight="1">
      <c r="A8" s="158" t="s">
        <v>319</v>
      </c>
      <c r="B8" s="159" t="s">
        <v>314</v>
      </c>
      <c r="C8" s="160">
        <v>0</v>
      </c>
      <c r="D8" s="321"/>
      <c r="E8" s="321"/>
      <c r="F8" s="325"/>
      <c r="G8" s="326"/>
      <c r="H8" s="325" t="s">
        <v>320</v>
      </c>
      <c r="I8" s="330"/>
      <c r="J8" s="330"/>
      <c r="K8" s="331"/>
      <c r="L8" s="328"/>
      <c r="M8" s="163"/>
      <c r="N8" s="163"/>
    </row>
    <row r="9" spans="1:14" s="162" customFormat="1" ht="157.5" customHeight="1">
      <c r="A9" s="158" t="s">
        <v>321</v>
      </c>
      <c r="B9" s="159" t="s">
        <v>314</v>
      </c>
      <c r="C9" s="160">
        <v>0</v>
      </c>
      <c r="D9" s="322"/>
      <c r="E9" s="322"/>
      <c r="F9" s="164"/>
      <c r="G9" s="164" t="s">
        <v>322</v>
      </c>
      <c r="H9" s="164" t="s">
        <v>113</v>
      </c>
      <c r="I9" s="164" t="s">
        <v>323</v>
      </c>
      <c r="J9" s="164" t="s">
        <v>324</v>
      </c>
      <c r="K9" s="165" t="s">
        <v>325</v>
      </c>
      <c r="L9" s="329"/>
      <c r="M9" s="166" t="s">
        <v>326</v>
      </c>
      <c r="N9" s="166" t="s">
        <v>327</v>
      </c>
    </row>
    <row r="10" spans="1:14" ht="43.5" customHeight="1">
      <c r="A10" s="167" t="s">
        <v>328</v>
      </c>
      <c r="B10" s="168" t="s">
        <v>314</v>
      </c>
      <c r="C10" s="169">
        <v>0</v>
      </c>
      <c r="D10" s="170" t="s">
        <v>329</v>
      </c>
      <c r="E10" s="166" t="s">
        <v>330</v>
      </c>
      <c r="F10" s="171"/>
      <c r="G10" s="171">
        <v>4575112</v>
      </c>
      <c r="H10" s="171">
        <v>0</v>
      </c>
      <c r="I10" s="172">
        <v>22512700</v>
      </c>
      <c r="J10" s="172">
        <v>23065200</v>
      </c>
      <c r="K10" s="172">
        <v>13939266.47</v>
      </c>
      <c r="L10" s="172">
        <f>K10+J10+I10+G10</f>
        <v>64092278.47</v>
      </c>
      <c r="M10" s="173"/>
      <c r="N10" s="174"/>
    </row>
    <row r="11" spans="1:14" ht="23.25" customHeight="1" hidden="1">
      <c r="A11" s="175" t="s">
        <v>331</v>
      </c>
      <c r="B11" s="168" t="s">
        <v>314</v>
      </c>
      <c r="C11" s="169">
        <v>0</v>
      </c>
      <c r="D11" s="166" t="s">
        <v>327</v>
      </c>
      <c r="E11" s="166" t="s">
        <v>327</v>
      </c>
      <c r="F11" s="171"/>
      <c r="G11" s="171"/>
      <c r="H11" s="171"/>
      <c r="I11" s="172"/>
      <c r="J11" s="172"/>
      <c r="K11" s="172"/>
      <c r="L11" s="172"/>
      <c r="M11" s="173"/>
      <c r="N11" s="174"/>
    </row>
    <row r="12" spans="1:14" ht="23.25" customHeight="1" hidden="1">
      <c r="A12" s="176" t="s">
        <v>332</v>
      </c>
      <c r="B12" s="168" t="s">
        <v>314</v>
      </c>
      <c r="C12" s="169">
        <v>0</v>
      </c>
      <c r="D12" s="166" t="s">
        <v>327</v>
      </c>
      <c r="E12" s="166" t="s">
        <v>327</v>
      </c>
      <c r="F12" s="171"/>
      <c r="G12" s="171"/>
      <c r="H12" s="171"/>
      <c r="I12" s="172"/>
      <c r="J12" s="172"/>
      <c r="K12" s="172"/>
      <c r="L12" s="172"/>
      <c r="M12" s="173"/>
      <c r="N12" s="174"/>
    </row>
    <row r="13" spans="1:14" ht="23.25" customHeight="1" hidden="1">
      <c r="A13" s="176" t="s">
        <v>333</v>
      </c>
      <c r="B13" s="168" t="s">
        <v>314</v>
      </c>
      <c r="C13" s="169">
        <v>0</v>
      </c>
      <c r="D13" s="166" t="s">
        <v>327</v>
      </c>
      <c r="E13" s="166" t="s">
        <v>327</v>
      </c>
      <c r="F13" s="171"/>
      <c r="G13" s="171"/>
      <c r="H13" s="171"/>
      <c r="I13" s="172"/>
      <c r="J13" s="172"/>
      <c r="K13" s="172"/>
      <c r="L13" s="172"/>
      <c r="M13" s="173"/>
      <c r="N13" s="174"/>
    </row>
    <row r="14" spans="1:14" ht="23.25" customHeight="1" hidden="1">
      <c r="A14" s="177" t="s">
        <v>334</v>
      </c>
      <c r="B14" s="178" t="s">
        <v>314</v>
      </c>
      <c r="C14" s="169">
        <v>0</v>
      </c>
      <c r="D14" s="166" t="s">
        <v>327</v>
      </c>
      <c r="E14" s="166" t="s">
        <v>327</v>
      </c>
      <c r="F14" s="171"/>
      <c r="G14" s="171"/>
      <c r="H14" s="171"/>
      <c r="I14" s="172"/>
      <c r="J14" s="172"/>
      <c r="K14" s="172"/>
      <c r="L14" s="172"/>
      <c r="M14" s="173"/>
      <c r="N14" s="174"/>
    </row>
    <row r="15" spans="1:14" ht="23.25" customHeight="1" hidden="1">
      <c r="A15" s="177">
        <v>10</v>
      </c>
      <c r="B15" s="178" t="s">
        <v>314</v>
      </c>
      <c r="C15" s="169">
        <v>0</v>
      </c>
      <c r="D15" s="166" t="s">
        <v>327</v>
      </c>
      <c r="E15" s="166" t="s">
        <v>327</v>
      </c>
      <c r="F15" s="171"/>
      <c r="G15" s="171"/>
      <c r="H15" s="171"/>
      <c r="I15" s="172"/>
      <c r="J15" s="172"/>
      <c r="K15" s="172"/>
      <c r="L15" s="172"/>
      <c r="M15" s="173"/>
      <c r="N15" s="174"/>
    </row>
    <row r="16" spans="1:14" ht="23.25" customHeight="1" hidden="1">
      <c r="A16" s="177">
        <v>11</v>
      </c>
      <c r="B16" s="178" t="s">
        <v>314</v>
      </c>
      <c r="C16" s="169">
        <v>0</v>
      </c>
      <c r="D16" s="166" t="s">
        <v>327</v>
      </c>
      <c r="E16" s="166" t="s">
        <v>327</v>
      </c>
      <c r="F16" s="171"/>
      <c r="G16" s="171"/>
      <c r="H16" s="171"/>
      <c r="I16" s="172"/>
      <c r="J16" s="172"/>
      <c r="K16" s="172"/>
      <c r="L16" s="172"/>
      <c r="M16" s="173"/>
      <c r="N16" s="174"/>
    </row>
    <row r="17" spans="1:14" ht="23.25" customHeight="1" hidden="1">
      <c r="A17" s="177">
        <v>12</v>
      </c>
      <c r="B17" s="178" t="s">
        <v>314</v>
      </c>
      <c r="C17" s="169">
        <v>0</v>
      </c>
      <c r="D17" s="166" t="s">
        <v>327</v>
      </c>
      <c r="E17" s="166" t="s">
        <v>327</v>
      </c>
      <c r="F17" s="171"/>
      <c r="G17" s="171"/>
      <c r="H17" s="171"/>
      <c r="I17" s="172"/>
      <c r="J17" s="172"/>
      <c r="K17" s="172"/>
      <c r="L17" s="172"/>
      <c r="M17" s="173"/>
      <c r="N17" s="174"/>
    </row>
    <row r="18" spans="1:14" ht="23.25" customHeight="1">
      <c r="A18" s="177"/>
      <c r="B18" s="178"/>
      <c r="C18" s="169"/>
      <c r="D18" s="166">
        <v>9900000000</v>
      </c>
      <c r="E18" s="166" t="s">
        <v>335</v>
      </c>
      <c r="F18" s="171"/>
      <c r="G18" s="171">
        <v>0</v>
      </c>
      <c r="H18" s="171">
        <v>68238</v>
      </c>
      <c r="I18" s="172">
        <v>0</v>
      </c>
      <c r="J18" s="172">
        <v>0</v>
      </c>
      <c r="K18" s="172">
        <v>0</v>
      </c>
      <c r="L18" s="172">
        <f>H18</f>
        <v>68238</v>
      </c>
      <c r="M18" s="173"/>
      <c r="N18" s="174"/>
    </row>
    <row r="19" spans="1:14" ht="39.75" customHeight="1">
      <c r="A19" s="175">
        <v>13</v>
      </c>
      <c r="B19" s="178" t="s">
        <v>314</v>
      </c>
      <c r="C19" s="169">
        <v>0</v>
      </c>
      <c r="D19" s="179"/>
      <c r="E19" s="180" t="s">
        <v>0</v>
      </c>
      <c r="F19" s="171">
        <f>F10</f>
        <v>0</v>
      </c>
      <c r="G19" s="171">
        <f>G10</f>
        <v>4575112</v>
      </c>
      <c r="H19" s="171">
        <f>H18</f>
        <v>68238</v>
      </c>
      <c r="I19" s="172">
        <f>I10</f>
        <v>22512700</v>
      </c>
      <c r="J19" s="172">
        <f>J10</f>
        <v>23065200</v>
      </c>
      <c r="K19" s="172">
        <f>K10+K18</f>
        <v>13939266.47</v>
      </c>
      <c r="L19" s="172">
        <f>L10+L18</f>
        <v>64160516.47</v>
      </c>
      <c r="M19" s="173"/>
      <c r="N19" s="174"/>
    </row>
    <row r="20" spans="1:28" s="183" customFormat="1" ht="31.5" customHeight="1">
      <c r="A20" s="181"/>
      <c r="B20" s="182"/>
      <c r="C20" s="182"/>
      <c r="D20" s="148"/>
      <c r="E20" s="148"/>
      <c r="F20" s="148"/>
      <c r="G20" s="148"/>
      <c r="H20" s="148"/>
      <c r="I20" s="150"/>
      <c r="J20" s="150"/>
      <c r="K20" s="1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11" ht="15.75" thickBot="1">
      <c r="A21" s="184"/>
      <c r="B21" s="185"/>
      <c r="C21" s="185"/>
      <c r="D21" s="317" t="s">
        <v>3</v>
      </c>
      <c r="E21" s="318"/>
      <c r="F21" s="186"/>
      <c r="G21" s="187"/>
      <c r="H21" s="187"/>
      <c r="I21" s="188"/>
      <c r="J21" s="187"/>
      <c r="K21" s="189" t="s">
        <v>311</v>
      </c>
    </row>
    <row r="22" spans="1:28" s="192" customFormat="1" ht="12.75">
      <c r="A22" s="190"/>
      <c r="B22" s="191"/>
      <c r="C22" s="191"/>
      <c r="D22" s="148"/>
      <c r="E22" s="148"/>
      <c r="F22" s="148"/>
      <c r="G22" s="148"/>
      <c r="H22" s="148"/>
      <c r="I22" s="150"/>
      <c r="J22" s="150"/>
      <c r="K22" s="1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1:28" s="192" customFormat="1" ht="12.75">
      <c r="A23" s="190"/>
      <c r="B23" s="191"/>
      <c r="C23" s="191"/>
      <c r="D23" s="148"/>
      <c r="E23" s="148"/>
      <c r="F23" s="148"/>
      <c r="G23" s="148"/>
      <c r="H23" s="148"/>
      <c r="I23" s="150"/>
      <c r="J23" s="150"/>
      <c r="K23" s="1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</row>
    <row r="24" spans="1:28" s="192" customFormat="1" ht="12.75">
      <c r="A24" s="190"/>
      <c r="B24" s="191"/>
      <c r="C24" s="191"/>
      <c r="D24" s="148"/>
      <c r="E24" s="148"/>
      <c r="F24" s="148"/>
      <c r="G24" s="148"/>
      <c r="H24" s="148"/>
      <c r="I24" s="150"/>
      <c r="J24" s="150"/>
      <c r="K24" s="1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s="192" customFormat="1" ht="12.75">
      <c r="A25" s="190"/>
      <c r="B25" s="191"/>
      <c r="C25" s="191"/>
      <c r="D25" s="148"/>
      <c r="E25" s="148"/>
      <c r="F25" s="148"/>
      <c r="G25" s="148"/>
      <c r="H25" s="148"/>
      <c r="I25" s="150"/>
      <c r="J25" s="150"/>
      <c r="K25" s="150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3" ht="12.75">
      <c r="A26" s="184"/>
      <c r="B26" s="185"/>
      <c r="C26" s="185"/>
    </row>
    <row r="27" spans="1:3" ht="12.75">
      <c r="A27" s="184"/>
      <c r="B27" s="185"/>
      <c r="C27" s="185"/>
    </row>
    <row r="28" spans="1:3" ht="12.75">
      <c r="A28" s="184"/>
      <c r="B28" s="185"/>
      <c r="C28" s="185"/>
    </row>
    <row r="29" spans="1:3" ht="12.75">
      <c r="A29" s="184"/>
      <c r="B29" s="185"/>
      <c r="C29" s="185"/>
    </row>
    <row r="30" spans="1:3" ht="12.75">
      <c r="A30" s="184"/>
      <c r="B30" s="185"/>
      <c r="C30" s="185"/>
    </row>
    <row r="31" spans="1:3" ht="12.75">
      <c r="A31" s="184"/>
      <c r="B31" s="185"/>
      <c r="C31" s="185"/>
    </row>
    <row r="32" spans="1:3" ht="12.75">
      <c r="A32" s="184"/>
      <c r="B32" s="185"/>
      <c r="C32" s="185"/>
    </row>
    <row r="33" spans="1:3" ht="12.75">
      <c r="A33" s="184"/>
      <c r="B33" s="185"/>
      <c r="C33" s="185"/>
    </row>
    <row r="34" spans="1:3" ht="12.75">
      <c r="A34" s="184"/>
      <c r="B34" s="185"/>
      <c r="C34" s="185"/>
    </row>
    <row r="35" spans="1:3" ht="12.75">
      <c r="A35" s="184"/>
      <c r="B35" s="185"/>
      <c r="C35" s="185"/>
    </row>
    <row r="36" spans="1:3" ht="12.75">
      <c r="A36" s="184"/>
      <c r="B36" s="185"/>
      <c r="C36" s="185"/>
    </row>
    <row r="37" spans="1:3" ht="12.75">
      <c r="A37" s="184"/>
      <c r="B37" s="185"/>
      <c r="C37" s="185"/>
    </row>
    <row r="38" spans="1:3" ht="12.75">
      <c r="A38" s="184"/>
      <c r="B38" s="185"/>
      <c r="C38" s="185"/>
    </row>
    <row r="39" spans="1:3" ht="12.75">
      <c r="A39" s="184"/>
      <c r="B39" s="185"/>
      <c r="C39" s="185"/>
    </row>
    <row r="40" spans="1:3" ht="12.75">
      <c r="A40" s="184"/>
      <c r="B40" s="185"/>
      <c r="C40" s="185"/>
    </row>
    <row r="41" spans="1:3" ht="12.75">
      <c r="A41" s="184"/>
      <c r="B41" s="185"/>
      <c r="C41" s="185"/>
    </row>
    <row r="42" spans="1:3" ht="12.75">
      <c r="A42" s="184"/>
      <c r="B42" s="185"/>
      <c r="C42" s="185"/>
    </row>
    <row r="43" spans="1:3" ht="12.75">
      <c r="A43" s="184"/>
      <c r="B43" s="185"/>
      <c r="C43" s="185"/>
    </row>
    <row r="44" spans="1:3" ht="12.75">
      <c r="A44" s="184"/>
      <c r="B44" s="185"/>
      <c r="C44" s="185"/>
    </row>
    <row r="45" spans="1:3" ht="12.75">
      <c r="A45" s="184"/>
      <c r="B45" s="185"/>
      <c r="C45" s="185"/>
    </row>
    <row r="46" spans="1:3" ht="12.75">
      <c r="A46" s="184"/>
      <c r="B46" s="185"/>
      <c r="C46" s="185"/>
    </row>
    <row r="47" spans="1:3" ht="12.75">
      <c r="A47" s="184"/>
      <c r="B47" s="185"/>
      <c r="C47" s="185"/>
    </row>
    <row r="48" spans="1:3" ht="12.75">
      <c r="A48" s="184"/>
      <c r="B48" s="185"/>
      <c r="C48" s="185"/>
    </row>
    <row r="49" ht="44.25" customHeight="1">
      <c r="A49" s="184"/>
    </row>
    <row r="50" ht="12.75">
      <c r="A50" s="184"/>
    </row>
    <row r="51" ht="12.75">
      <c r="A51" s="184"/>
    </row>
    <row r="52" ht="16.5" thickBot="1">
      <c r="C52" s="193"/>
    </row>
    <row r="62" ht="45.75" customHeight="1"/>
  </sheetData>
  <sheetProtection/>
  <mergeCells count="9">
    <mergeCell ref="H7:K7"/>
    <mergeCell ref="D21:E21"/>
    <mergeCell ref="I4:N4"/>
    <mergeCell ref="D5:N5"/>
    <mergeCell ref="D7:D9"/>
    <mergeCell ref="E7:E9"/>
    <mergeCell ref="F7:G8"/>
    <mergeCell ref="L7:L9"/>
    <mergeCell ref="H8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tabSelected="1" view="pageBreakPreview" zoomScale="85" zoomScaleSheetLayoutView="85" zoomScalePageLayoutView="0" workbookViewId="0" topLeftCell="B1">
      <selection activeCell="A4" sqref="A4:F4"/>
    </sheetView>
  </sheetViews>
  <sheetFormatPr defaultColWidth="10.66015625" defaultRowHeight="12.75"/>
  <cols>
    <col min="1" max="1" width="18.5" style="197" customWidth="1"/>
    <col min="2" max="2" width="113.5" style="197" customWidth="1"/>
    <col min="3" max="3" width="24.16015625" style="197" customWidth="1"/>
    <col min="4" max="4" width="19.66015625" style="197" customWidth="1"/>
    <col min="5" max="5" width="19.33203125" style="197" customWidth="1"/>
    <col min="6" max="6" width="19.66015625" style="214" hidden="1" customWidth="1"/>
    <col min="7" max="7" width="16" style="214" hidden="1" customWidth="1"/>
    <col min="8" max="8" width="19.16015625" style="197" customWidth="1"/>
    <col min="9" max="9" width="20" style="197" customWidth="1"/>
    <col min="10" max="16384" width="10.66015625" style="197" customWidth="1"/>
  </cols>
  <sheetData>
    <row r="1" spans="1:43" s="199" customFormat="1" ht="76.5" customHeight="1">
      <c r="A1" s="194"/>
      <c r="B1" s="194"/>
      <c r="C1" s="194"/>
      <c r="D1" s="334" t="s">
        <v>425</v>
      </c>
      <c r="E1" s="335"/>
      <c r="F1" s="195"/>
      <c r="G1" s="196"/>
      <c r="H1" s="197"/>
      <c r="I1" s="198">
        <v>1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</row>
    <row r="2" spans="1:43" s="199" customFormat="1" ht="18" customHeight="1" hidden="1">
      <c r="A2" s="200"/>
      <c r="B2" s="200"/>
      <c r="C2" s="200"/>
      <c r="D2" s="201"/>
      <c r="E2" s="197"/>
      <c r="F2" s="195"/>
      <c r="G2" s="196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</row>
    <row r="3" spans="1:43" s="199" customFormat="1" ht="18" customHeight="1" hidden="1">
      <c r="A3" s="200"/>
      <c r="B3" s="200"/>
      <c r="C3" s="200"/>
      <c r="D3" s="201"/>
      <c r="E3" s="197"/>
      <c r="F3" s="195"/>
      <c r="G3" s="196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</row>
    <row r="4" spans="1:43" s="199" customFormat="1" ht="12.75" customHeight="1">
      <c r="A4" s="336" t="s">
        <v>336</v>
      </c>
      <c r="B4" s="336"/>
      <c r="C4" s="336"/>
      <c r="D4" s="336"/>
      <c r="E4" s="336"/>
      <c r="F4" s="337"/>
      <c r="G4" s="202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</row>
    <row r="5" spans="1:7" ht="9.75" customHeight="1">
      <c r="A5" s="203"/>
      <c r="B5" s="203"/>
      <c r="C5" s="203"/>
      <c r="D5" s="203"/>
      <c r="E5" s="204" t="s">
        <v>72</v>
      </c>
      <c r="F5" s="205"/>
      <c r="G5" s="206"/>
    </row>
    <row r="6" spans="1:7" s="210" customFormat="1" ht="51" customHeight="1">
      <c r="A6" s="207" t="s">
        <v>337</v>
      </c>
      <c r="B6" s="207" t="s">
        <v>338</v>
      </c>
      <c r="C6" s="207" t="s">
        <v>0</v>
      </c>
      <c r="D6" s="207" t="s">
        <v>339</v>
      </c>
      <c r="E6" s="207" t="s">
        <v>340</v>
      </c>
      <c r="F6" s="208"/>
      <c r="G6" s="209"/>
    </row>
    <row r="7" spans="1:9" s="214" customFormat="1" ht="17.25" customHeight="1">
      <c r="A7" s="338" t="s">
        <v>341</v>
      </c>
      <c r="B7" s="211" t="s">
        <v>342</v>
      </c>
      <c r="C7" s="279">
        <f aca="true" t="shared" si="0" ref="C7:C35">D7+E7</f>
        <v>3000000</v>
      </c>
      <c r="D7" s="279">
        <v>3000000</v>
      </c>
      <c r="E7" s="280">
        <v>0</v>
      </c>
      <c r="F7" s="212"/>
      <c r="G7" s="212"/>
      <c r="H7" s="213"/>
      <c r="I7" s="213"/>
    </row>
    <row r="8" spans="1:9" s="214" customFormat="1" ht="20.25" customHeight="1">
      <c r="A8" s="339"/>
      <c r="B8" s="211" t="s">
        <v>343</v>
      </c>
      <c r="C8" s="279">
        <f t="shared" si="0"/>
        <v>1053706.13</v>
      </c>
      <c r="D8" s="279">
        <f>2388358-1334651.87</f>
        <v>1053706.13</v>
      </c>
      <c r="E8" s="280">
        <v>0</v>
      </c>
      <c r="F8" s="212"/>
      <c r="G8" s="212"/>
      <c r="H8" s="213"/>
      <c r="I8" s="213"/>
    </row>
    <row r="9" spans="1:9" s="214" customFormat="1" ht="26.25" customHeight="1">
      <c r="A9" s="339"/>
      <c r="B9" s="211" t="s">
        <v>344</v>
      </c>
      <c r="C9" s="279">
        <f t="shared" si="0"/>
        <v>322205.81</v>
      </c>
      <c r="D9" s="279">
        <f>350000-27794.19</f>
        <v>322205.81</v>
      </c>
      <c r="E9" s="280">
        <v>0</v>
      </c>
      <c r="F9" s="212"/>
      <c r="G9" s="212"/>
      <c r="H9" s="213"/>
      <c r="I9" s="213"/>
    </row>
    <row r="10" spans="1:9" s="214" customFormat="1" ht="14.25" customHeight="1">
      <c r="A10" s="339"/>
      <c r="B10" s="215" t="s">
        <v>345</v>
      </c>
      <c r="C10" s="279">
        <f t="shared" si="0"/>
        <v>866327.02</v>
      </c>
      <c r="D10" s="279">
        <f>908475-42147.98</f>
        <v>866327.02</v>
      </c>
      <c r="E10" s="280">
        <v>0</v>
      </c>
      <c r="F10" s="212"/>
      <c r="G10" s="212"/>
      <c r="H10" s="213"/>
      <c r="I10" s="213"/>
    </row>
    <row r="11" spans="1:9" s="214" customFormat="1" ht="30.75" customHeight="1">
      <c r="A11" s="339"/>
      <c r="B11" s="215" t="s">
        <v>346</v>
      </c>
      <c r="C11" s="279">
        <f t="shared" si="0"/>
        <v>311550</v>
      </c>
      <c r="D11" s="279">
        <f>189550+122000</f>
        <v>311550</v>
      </c>
      <c r="E11" s="280">
        <v>0</v>
      </c>
      <c r="F11" s="212"/>
      <c r="G11" s="212"/>
      <c r="H11" s="213"/>
      <c r="I11" s="213"/>
    </row>
    <row r="12" spans="1:9" s="214" customFormat="1" ht="27.75" customHeight="1">
      <c r="A12" s="339"/>
      <c r="B12" s="215" t="s">
        <v>347</v>
      </c>
      <c r="C12" s="279">
        <f t="shared" si="0"/>
        <v>22500</v>
      </c>
      <c r="D12" s="279">
        <f>12500+10000</f>
        <v>22500</v>
      </c>
      <c r="E12" s="280">
        <v>0</v>
      </c>
      <c r="F12" s="212"/>
      <c r="G12" s="212"/>
      <c r="H12" s="213"/>
      <c r="I12" s="213"/>
    </row>
    <row r="13" spans="1:9" s="214" customFormat="1" ht="12.75">
      <c r="A13" s="339"/>
      <c r="B13" s="215" t="s">
        <v>348</v>
      </c>
      <c r="C13" s="279">
        <f t="shared" si="0"/>
        <v>280443</v>
      </c>
      <c r="D13" s="279">
        <f>152343+128100</f>
        <v>280443</v>
      </c>
      <c r="E13" s="280">
        <v>0</v>
      </c>
      <c r="F13" s="212"/>
      <c r="G13" s="212"/>
      <c r="H13" s="213"/>
      <c r="I13" s="213"/>
    </row>
    <row r="14" spans="1:9" s="214" customFormat="1" ht="27" customHeight="1">
      <c r="A14" s="339"/>
      <c r="B14" s="215" t="s">
        <v>349</v>
      </c>
      <c r="C14" s="279">
        <f t="shared" si="0"/>
        <v>126538</v>
      </c>
      <c r="D14" s="279">
        <f>66638+59900</f>
        <v>126538</v>
      </c>
      <c r="E14" s="280">
        <v>0</v>
      </c>
      <c r="F14" s="212"/>
      <c r="G14" s="212"/>
      <c r="H14" s="213"/>
      <c r="I14" s="213"/>
    </row>
    <row r="15" spans="1:9" s="214" customFormat="1" ht="31.5" customHeight="1">
      <c r="A15" s="339"/>
      <c r="B15" s="215" t="s">
        <v>350</v>
      </c>
      <c r="C15" s="279">
        <f t="shared" si="0"/>
        <v>5335</v>
      </c>
      <c r="D15" s="279">
        <f>3525+5430-3620</f>
        <v>5335</v>
      </c>
      <c r="E15" s="280">
        <v>0</v>
      </c>
      <c r="F15" s="212"/>
      <c r="G15" s="212"/>
      <c r="H15" s="213"/>
      <c r="I15" s="213"/>
    </row>
    <row r="16" spans="1:9" s="214" customFormat="1" ht="12.75">
      <c r="A16" s="339"/>
      <c r="B16" s="211" t="s">
        <v>351</v>
      </c>
      <c r="C16" s="279">
        <f t="shared" si="0"/>
        <v>980000</v>
      </c>
      <c r="D16" s="279">
        <v>980000</v>
      </c>
      <c r="E16" s="280">
        <v>0</v>
      </c>
      <c r="F16" s="212"/>
      <c r="G16" s="212"/>
      <c r="H16" s="213"/>
      <c r="I16" s="213"/>
    </row>
    <row r="17" spans="1:9" s="214" customFormat="1" ht="18.75" customHeight="1">
      <c r="A17" s="339"/>
      <c r="B17" s="211" t="s">
        <v>352</v>
      </c>
      <c r="C17" s="279">
        <f t="shared" si="0"/>
        <v>906884</v>
      </c>
      <c r="D17" s="279">
        <f>300000+355632-90643+318553+23342</f>
        <v>906884</v>
      </c>
      <c r="E17" s="280">
        <v>0</v>
      </c>
      <c r="F17" s="212"/>
      <c r="G17" s="212"/>
      <c r="H17" s="213"/>
      <c r="I17" s="213"/>
    </row>
    <row r="18" spans="1:9" s="214" customFormat="1" ht="15" customHeight="1">
      <c r="A18" s="339"/>
      <c r="B18" s="211" t="s">
        <v>353</v>
      </c>
      <c r="C18" s="279">
        <f t="shared" si="0"/>
        <v>90643</v>
      </c>
      <c r="D18" s="279">
        <v>0</v>
      </c>
      <c r="E18" s="280">
        <v>90643</v>
      </c>
      <c r="F18" s="212"/>
      <c r="G18" s="212"/>
      <c r="H18" s="213"/>
      <c r="I18" s="213"/>
    </row>
    <row r="19" spans="1:9" s="214" customFormat="1" ht="18" customHeight="1">
      <c r="A19" s="339"/>
      <c r="B19" s="211" t="s">
        <v>354</v>
      </c>
      <c r="C19" s="279">
        <f t="shared" si="0"/>
        <v>235970</v>
      </c>
      <c r="D19" s="279">
        <f>74813+74880+74000+12277</f>
        <v>235970</v>
      </c>
      <c r="E19" s="280">
        <v>0</v>
      </c>
      <c r="F19" s="212"/>
      <c r="G19" s="212"/>
      <c r="H19" s="213"/>
      <c r="I19" s="213"/>
    </row>
    <row r="20" spans="1:9" s="214" customFormat="1" ht="29.25" customHeight="1">
      <c r="A20" s="339"/>
      <c r="B20" s="216" t="s">
        <v>355</v>
      </c>
      <c r="C20" s="279">
        <f t="shared" si="0"/>
        <v>1636162</v>
      </c>
      <c r="D20" s="279">
        <f>712850+472248+420153+30911</f>
        <v>1636162</v>
      </c>
      <c r="E20" s="280">
        <v>0</v>
      </c>
      <c r="F20" s="212"/>
      <c r="G20" s="212"/>
      <c r="H20" s="213"/>
      <c r="I20" s="213"/>
    </row>
    <row r="21" spans="1:9" s="214" customFormat="1" ht="25.5">
      <c r="A21" s="339"/>
      <c r="B21" s="211" t="s">
        <v>356</v>
      </c>
      <c r="C21" s="279">
        <f t="shared" si="0"/>
        <v>25000</v>
      </c>
      <c r="D21" s="279">
        <v>25000</v>
      </c>
      <c r="E21" s="280">
        <v>0</v>
      </c>
      <c r="F21" s="212"/>
      <c r="G21" s="212"/>
      <c r="H21" s="213"/>
      <c r="I21" s="213"/>
    </row>
    <row r="22" spans="1:9" s="214" customFormat="1" ht="12.75">
      <c r="A22" s="339"/>
      <c r="B22" s="211" t="s">
        <v>357</v>
      </c>
      <c r="C22" s="279">
        <f t="shared" si="0"/>
        <v>328857</v>
      </c>
      <c r="D22" s="281">
        <f>136975+136975+51144+3763</f>
        <v>328857</v>
      </c>
      <c r="E22" s="280">
        <v>0</v>
      </c>
      <c r="F22" s="212"/>
      <c r="G22" s="212"/>
      <c r="H22" s="213"/>
      <c r="I22" s="213"/>
    </row>
    <row r="23" spans="1:9" s="214" customFormat="1" ht="18.75" customHeight="1">
      <c r="A23" s="340"/>
      <c r="B23" s="211" t="s">
        <v>358</v>
      </c>
      <c r="C23" s="279">
        <f t="shared" si="0"/>
        <v>413665.87</v>
      </c>
      <c r="D23" s="279">
        <f>436345-22679.13</f>
        <v>413665.87</v>
      </c>
      <c r="E23" s="280">
        <v>0</v>
      </c>
      <c r="F23" s="212"/>
      <c r="G23" s="212"/>
      <c r="H23" s="213"/>
      <c r="I23" s="213"/>
    </row>
    <row r="24" spans="1:9" s="214" customFormat="1" ht="18" customHeight="1">
      <c r="A24" s="340"/>
      <c r="B24" s="211" t="s">
        <v>359</v>
      </c>
      <c r="C24" s="279">
        <f t="shared" si="0"/>
        <v>34028.05</v>
      </c>
      <c r="D24" s="279">
        <f>37478-3449.95</f>
        <v>34028.05</v>
      </c>
      <c r="E24" s="280">
        <v>0</v>
      </c>
      <c r="F24" s="212"/>
      <c r="G24" s="212"/>
      <c r="H24" s="213"/>
      <c r="I24" s="213"/>
    </row>
    <row r="25" spans="1:9" s="214" customFormat="1" ht="24" customHeight="1">
      <c r="A25" s="340"/>
      <c r="B25" s="211" t="s">
        <v>360</v>
      </c>
      <c r="C25" s="279">
        <f t="shared" si="0"/>
        <v>327615.6</v>
      </c>
      <c r="D25" s="279">
        <f>359585-31969.4</f>
        <v>327615.6</v>
      </c>
      <c r="E25" s="280">
        <v>0</v>
      </c>
      <c r="F25" s="212"/>
      <c r="G25" s="212"/>
      <c r="H25" s="213"/>
      <c r="I25" s="213"/>
    </row>
    <row r="26" spans="1:9" s="214" customFormat="1" ht="18.75" customHeight="1">
      <c r="A26" s="340"/>
      <c r="B26" s="211" t="s">
        <v>361</v>
      </c>
      <c r="C26" s="279">
        <f t="shared" si="0"/>
        <v>1133034.9</v>
      </c>
      <c r="D26" s="279">
        <f>1170067-37032.1</f>
        <v>1133034.9</v>
      </c>
      <c r="E26" s="280">
        <v>0</v>
      </c>
      <c r="F26" s="212"/>
      <c r="G26" s="212"/>
      <c r="H26" s="213"/>
      <c r="I26" s="213"/>
    </row>
    <row r="27" spans="1:9" s="214" customFormat="1" ht="25.5" customHeight="1">
      <c r="A27" s="340"/>
      <c r="B27" s="211" t="s">
        <v>362</v>
      </c>
      <c r="C27" s="279">
        <f t="shared" si="0"/>
        <v>153650</v>
      </c>
      <c r="D27" s="279">
        <v>153650</v>
      </c>
      <c r="E27" s="280">
        <v>0</v>
      </c>
      <c r="F27" s="212"/>
      <c r="G27" s="212"/>
      <c r="H27" s="213"/>
      <c r="I27" s="213"/>
    </row>
    <row r="28" spans="1:9" s="214" customFormat="1" ht="25.5" customHeight="1">
      <c r="A28" s="340"/>
      <c r="B28" s="278" t="s">
        <v>417</v>
      </c>
      <c r="C28" s="279">
        <f>D28+E28</f>
        <v>27000</v>
      </c>
      <c r="D28" s="279">
        <v>27000</v>
      </c>
      <c r="E28" s="280">
        <v>0</v>
      </c>
      <c r="F28" s="212"/>
      <c r="G28" s="212"/>
      <c r="H28" s="213"/>
      <c r="I28" s="213"/>
    </row>
    <row r="29" spans="1:9" s="214" customFormat="1" ht="20.25" customHeight="1">
      <c r="A29" s="340"/>
      <c r="B29" s="216" t="s">
        <v>363</v>
      </c>
      <c r="C29" s="279">
        <f t="shared" si="0"/>
        <v>299707.09</v>
      </c>
      <c r="D29" s="279">
        <f>304750-5042.91</f>
        <v>299707.09</v>
      </c>
      <c r="E29" s="280">
        <v>0</v>
      </c>
      <c r="F29" s="212"/>
      <c r="G29" s="212"/>
      <c r="H29" s="213"/>
      <c r="I29" s="213"/>
    </row>
    <row r="30" spans="1:9" s="214" customFormat="1" ht="27.75" customHeight="1">
      <c r="A30" s="340"/>
      <c r="B30" s="94" t="s">
        <v>364</v>
      </c>
      <c r="C30" s="279">
        <f t="shared" si="0"/>
        <v>75000</v>
      </c>
      <c r="D30" s="279">
        <v>75000</v>
      </c>
      <c r="E30" s="280">
        <v>0</v>
      </c>
      <c r="F30" s="212"/>
      <c r="G30" s="212"/>
      <c r="H30" s="213"/>
      <c r="I30" s="213"/>
    </row>
    <row r="31" spans="1:9" s="214" customFormat="1" ht="25.5" customHeight="1">
      <c r="A31" s="340"/>
      <c r="B31" s="216" t="s">
        <v>365</v>
      </c>
      <c r="C31" s="279">
        <f t="shared" si="0"/>
        <v>1213844</v>
      </c>
      <c r="D31" s="279">
        <f>150500+101900+378000+543610+39834</f>
        <v>1213844</v>
      </c>
      <c r="E31" s="280">
        <v>0</v>
      </c>
      <c r="F31" s="212"/>
      <c r="G31" s="212"/>
      <c r="H31" s="213"/>
      <c r="I31" s="213"/>
    </row>
    <row r="32" spans="1:9" s="214" customFormat="1" ht="18.75" customHeight="1">
      <c r="A32" s="340"/>
      <c r="B32" s="216" t="s">
        <v>366</v>
      </c>
      <c r="C32" s="279">
        <f t="shared" si="0"/>
        <v>25000</v>
      </c>
      <c r="D32" s="279">
        <v>25000</v>
      </c>
      <c r="E32" s="280">
        <v>0</v>
      </c>
      <c r="F32" s="212"/>
      <c r="G32" s="212"/>
      <c r="H32" s="213"/>
      <c r="I32" s="213"/>
    </row>
    <row r="33" spans="1:9" s="214" customFormat="1" ht="15.75" customHeight="1">
      <c r="A33" s="340"/>
      <c r="B33" s="211" t="s">
        <v>367</v>
      </c>
      <c r="C33" s="279">
        <f t="shared" si="0"/>
        <v>14600</v>
      </c>
      <c r="D33" s="279">
        <v>14600</v>
      </c>
      <c r="E33" s="280">
        <v>0</v>
      </c>
      <c r="F33" s="212"/>
      <c r="G33" s="212"/>
      <c r="H33" s="213"/>
      <c r="I33" s="213"/>
    </row>
    <row r="34" spans="1:9" s="214" customFormat="1" ht="18" customHeight="1">
      <c r="A34" s="341"/>
      <c r="B34" s="217" t="s">
        <v>391</v>
      </c>
      <c r="C34" s="279">
        <f t="shared" si="0"/>
        <v>30000</v>
      </c>
      <c r="D34" s="279">
        <v>30000</v>
      </c>
      <c r="E34" s="280">
        <v>0</v>
      </c>
      <c r="F34" s="212"/>
      <c r="G34" s="212"/>
      <c r="H34" s="213"/>
      <c r="I34" s="213"/>
    </row>
    <row r="35" spans="1:9" ht="12.75">
      <c r="A35" s="342" t="s">
        <v>368</v>
      </c>
      <c r="B35" s="343"/>
      <c r="C35" s="282">
        <f t="shared" si="0"/>
        <v>13939266.469999999</v>
      </c>
      <c r="D35" s="282">
        <f>SUM(D7:D34)</f>
        <v>13848623.469999999</v>
      </c>
      <c r="E35" s="282">
        <f>SUM(E7:E34)</f>
        <v>90643</v>
      </c>
      <c r="F35" s="212"/>
      <c r="G35" s="212"/>
      <c r="H35" s="213"/>
      <c r="I35" s="213"/>
    </row>
    <row r="36" spans="3:9" ht="12.75">
      <c r="C36" s="218"/>
      <c r="D36" s="218"/>
      <c r="E36" s="218"/>
      <c r="I36" s="219"/>
    </row>
    <row r="37" spans="1:13" ht="13.5" thickBot="1">
      <c r="A37" s="332" t="s">
        <v>3</v>
      </c>
      <c r="B37" s="333"/>
      <c r="C37" s="220"/>
      <c r="D37" s="221"/>
      <c r="E37" s="221" t="s">
        <v>311</v>
      </c>
      <c r="G37" s="222"/>
      <c r="H37" s="214"/>
      <c r="I37" s="222"/>
      <c r="J37" s="222"/>
      <c r="K37" s="222"/>
      <c r="L37" s="222"/>
      <c r="M37" s="223"/>
    </row>
    <row r="38" spans="3:9" ht="12.75">
      <c r="C38" s="218"/>
      <c r="D38" s="218"/>
      <c r="E38" s="218"/>
      <c r="I38" s="219"/>
    </row>
    <row r="39" spans="3:9" ht="12.75">
      <c r="C39" s="218"/>
      <c r="D39" s="218"/>
      <c r="E39" s="218"/>
      <c r="I39" s="219"/>
    </row>
    <row r="40" spans="3:9" ht="12.75">
      <c r="C40" s="218"/>
      <c r="D40" s="218"/>
      <c r="E40" s="218"/>
      <c r="I40" s="219"/>
    </row>
    <row r="41" spans="3:9" ht="12.75">
      <c r="C41" s="218"/>
      <c r="D41" s="218"/>
      <c r="E41" s="218"/>
      <c r="I41" s="219"/>
    </row>
    <row r="42" spans="3:5" s="224" customFormat="1" ht="12.75">
      <c r="C42" s="225"/>
      <c r="D42" s="225"/>
      <c r="E42" s="225"/>
    </row>
    <row r="43" spans="3:5" s="214" customFormat="1" ht="12.75">
      <c r="C43" s="226"/>
      <c r="D43" s="226"/>
      <c r="E43" s="226"/>
    </row>
    <row r="44" spans="3:5" s="214" customFormat="1" ht="12.75">
      <c r="C44" s="226"/>
      <c r="D44" s="226"/>
      <c r="E44" s="226"/>
    </row>
    <row r="45" spans="3:5" s="214" customFormat="1" ht="12.75">
      <c r="C45" s="226"/>
      <c r="D45" s="226"/>
      <c r="E45" s="226"/>
    </row>
    <row r="46" spans="3:5" s="214" customFormat="1" ht="12.75">
      <c r="C46" s="226"/>
      <c r="D46" s="226"/>
      <c r="E46" s="226"/>
    </row>
    <row r="47" spans="3:5" s="214" customFormat="1" ht="12.75">
      <c r="C47" s="226"/>
      <c r="D47" s="226"/>
      <c r="E47" s="226"/>
    </row>
    <row r="48" spans="3:5" s="214" customFormat="1" ht="12.75">
      <c r="C48" s="226"/>
      <c r="D48" s="226"/>
      <c r="E48" s="226"/>
    </row>
    <row r="49" spans="3:5" s="214" customFormat="1" ht="12.75">
      <c r="C49" s="226"/>
      <c r="D49" s="226"/>
      <c r="E49" s="226"/>
    </row>
    <row r="50" spans="3:5" s="214" customFormat="1" ht="12.75">
      <c r="C50" s="226"/>
      <c r="D50" s="226"/>
      <c r="E50" s="226"/>
    </row>
    <row r="51" spans="3:5" s="214" customFormat="1" ht="12.75">
      <c r="C51" s="226"/>
      <c r="D51" s="226"/>
      <c r="E51" s="226"/>
    </row>
    <row r="52" spans="3:5" s="214" customFormat="1" ht="12.75">
      <c r="C52" s="226"/>
      <c r="D52" s="226"/>
      <c r="E52" s="226"/>
    </row>
    <row r="53" spans="3:5" s="214" customFormat="1" ht="12.75">
      <c r="C53" s="226"/>
      <c r="D53" s="226"/>
      <c r="E53" s="226"/>
    </row>
    <row r="54" spans="3:5" s="214" customFormat="1" ht="12.75">
      <c r="C54" s="226"/>
      <c r="D54" s="226"/>
      <c r="E54" s="226"/>
    </row>
    <row r="55" spans="3:5" s="214" customFormat="1" ht="12.75">
      <c r="C55" s="226"/>
      <c r="D55" s="226"/>
      <c r="E55" s="226"/>
    </row>
    <row r="56" spans="3:7" s="228" customFormat="1" ht="12.75">
      <c r="C56" s="227"/>
      <c r="D56" s="227"/>
      <c r="E56" s="227"/>
      <c r="F56" s="214"/>
      <c r="G56" s="214"/>
    </row>
    <row r="57" spans="3:8" ht="12.75">
      <c r="C57" s="227"/>
      <c r="D57" s="227"/>
      <c r="E57" s="227"/>
      <c r="H57" s="228"/>
    </row>
  </sheetData>
  <sheetProtection/>
  <mergeCells count="5">
    <mergeCell ref="A37:B37"/>
    <mergeCell ref="D1:E1"/>
    <mergeCell ref="A4:F4"/>
    <mergeCell ref="A7:A34"/>
    <mergeCell ref="A35:B3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0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70" zoomScaleSheetLayoutView="70" zoomScalePageLayoutView="0" workbookViewId="0" topLeftCell="B26">
      <selection activeCell="C38" sqref="C38"/>
    </sheetView>
  </sheetViews>
  <sheetFormatPr defaultColWidth="9.16015625" defaultRowHeight="12.75"/>
  <cols>
    <col min="1" max="1" width="3.83203125" style="97" hidden="1" customWidth="1"/>
    <col min="2" max="2" width="15.5" style="97" customWidth="1"/>
    <col min="3" max="3" width="13.16015625" style="97" customWidth="1"/>
    <col min="4" max="4" width="13.66015625" style="97" customWidth="1"/>
    <col min="5" max="5" width="79" style="97" customWidth="1"/>
    <col min="6" max="6" width="45" style="97" customWidth="1"/>
    <col min="7" max="9" width="21.16015625" style="97" customWidth="1"/>
    <col min="10" max="10" width="4.33203125" style="99" customWidth="1"/>
    <col min="11" max="16384" width="9.16015625" style="99" customWidth="1"/>
  </cols>
  <sheetData>
    <row r="1" spans="1:9" s="96" customFormat="1" ht="13.5" customHeight="1">
      <c r="A1" s="95"/>
      <c r="B1" s="345"/>
      <c r="C1" s="345"/>
      <c r="D1" s="345"/>
      <c r="E1" s="345"/>
      <c r="F1" s="345"/>
      <c r="G1" s="345"/>
      <c r="H1" s="345"/>
      <c r="I1" s="345"/>
    </row>
    <row r="2" spans="7:10" ht="63" customHeight="1">
      <c r="G2" s="346" t="s">
        <v>426</v>
      </c>
      <c r="H2" s="346"/>
      <c r="I2" s="346"/>
      <c r="J2" s="98"/>
    </row>
    <row r="3" spans="2:9" ht="42" customHeight="1">
      <c r="B3" s="347" t="s">
        <v>231</v>
      </c>
      <c r="C3" s="347"/>
      <c r="D3" s="347"/>
      <c r="E3" s="348"/>
      <c r="F3" s="348"/>
      <c r="G3" s="348"/>
      <c r="H3" s="348"/>
      <c r="I3" s="348"/>
    </row>
    <row r="4" spans="2:9" ht="18.75">
      <c r="B4" s="100"/>
      <c r="C4" s="100"/>
      <c r="D4" s="100"/>
      <c r="E4" s="100"/>
      <c r="F4" s="101"/>
      <c r="G4" s="101"/>
      <c r="H4" s="102"/>
      <c r="I4" s="103" t="s">
        <v>232</v>
      </c>
    </row>
    <row r="5" spans="1:9" ht="107.25" customHeight="1">
      <c r="A5" s="104"/>
      <c r="B5" s="105" t="s">
        <v>233</v>
      </c>
      <c r="C5" s="106" t="s">
        <v>234</v>
      </c>
      <c r="D5" s="106" t="s">
        <v>24</v>
      </c>
      <c r="E5" s="106" t="s">
        <v>235</v>
      </c>
      <c r="F5" s="107" t="s">
        <v>236</v>
      </c>
      <c r="G5" s="108" t="s">
        <v>1</v>
      </c>
      <c r="H5" s="107" t="s">
        <v>2</v>
      </c>
      <c r="I5" s="107" t="s">
        <v>237</v>
      </c>
    </row>
    <row r="6" spans="1:9" s="113" customFormat="1" ht="22.5" customHeight="1" hidden="1">
      <c r="A6" s="109"/>
      <c r="B6" s="110"/>
      <c r="C6" s="110"/>
      <c r="D6" s="110"/>
      <c r="E6" s="111" t="s">
        <v>241</v>
      </c>
      <c r="F6" s="112"/>
      <c r="G6" s="112"/>
      <c r="H6" s="112"/>
      <c r="I6" s="112"/>
    </row>
    <row r="7" spans="2:9" ht="21" customHeight="1">
      <c r="B7" s="110" t="s">
        <v>76</v>
      </c>
      <c r="C7" s="110"/>
      <c r="D7" s="110"/>
      <c r="E7" s="114" t="s">
        <v>15</v>
      </c>
      <c r="F7" s="115"/>
      <c r="G7" s="116">
        <f>G8+G10+G11+G12+G13+G14+G15+G16+G27+G25+G21</f>
        <v>8087683</v>
      </c>
      <c r="H7" s="116">
        <f>H8+H10+H11+H12+H13+H14+H15+H16+H27+H25+H21</f>
        <v>5824601.88</v>
      </c>
      <c r="I7" s="116">
        <f>I8+I10+I11+I12+I13+I14+I15+I16+I27+I25+I21</f>
        <v>13912284.879999999</v>
      </c>
    </row>
    <row r="8" spans="2:9" ht="28.5" customHeight="1" hidden="1">
      <c r="B8" s="117" t="s">
        <v>238</v>
      </c>
      <c r="C8" s="117"/>
      <c r="D8" s="117"/>
      <c r="E8" s="118" t="s">
        <v>239</v>
      </c>
      <c r="F8" s="349" t="s">
        <v>240</v>
      </c>
      <c r="G8" s="119">
        <v>0</v>
      </c>
      <c r="H8" s="119">
        <v>0</v>
      </c>
      <c r="I8" s="119">
        <f>G8+H8</f>
        <v>0</v>
      </c>
    </row>
    <row r="9" spans="2:9" ht="16.5" customHeight="1">
      <c r="B9" s="117" t="s">
        <v>14</v>
      </c>
      <c r="C9" s="117"/>
      <c r="D9" s="117"/>
      <c r="E9" s="114" t="s">
        <v>15</v>
      </c>
      <c r="F9" s="350"/>
      <c r="G9" s="119"/>
      <c r="H9" s="119"/>
      <c r="I9" s="119"/>
    </row>
    <row r="10" spans="2:9" ht="15">
      <c r="B10" s="120" t="s">
        <v>49</v>
      </c>
      <c r="C10" s="120" t="s">
        <v>50</v>
      </c>
      <c r="D10" s="120" t="s">
        <v>51</v>
      </c>
      <c r="E10" s="121" t="s">
        <v>81</v>
      </c>
      <c r="F10" s="350"/>
      <c r="G10" s="119">
        <v>0</v>
      </c>
      <c r="H10" s="119">
        <v>3659174.36</v>
      </c>
      <c r="I10" s="116">
        <f aca="true" t="shared" si="0" ref="I10:I34">H10+G10</f>
        <v>3659174.36</v>
      </c>
    </row>
    <row r="11" spans="2:9" ht="15">
      <c r="B11" s="120" t="s">
        <v>55</v>
      </c>
      <c r="C11" s="120" t="s">
        <v>53</v>
      </c>
      <c r="D11" s="120" t="s">
        <v>54</v>
      </c>
      <c r="E11" s="122" t="s">
        <v>82</v>
      </c>
      <c r="F11" s="350"/>
      <c r="G11" s="119">
        <v>2619640</v>
      </c>
      <c r="H11" s="119">
        <v>2115427.52</v>
      </c>
      <c r="I11" s="116">
        <f t="shared" si="0"/>
        <v>4735067.52</v>
      </c>
    </row>
    <row r="12" spans="2:9" ht="15">
      <c r="B12" s="123" t="s">
        <v>25</v>
      </c>
      <c r="C12" s="123" t="s">
        <v>26</v>
      </c>
      <c r="D12" s="123" t="s">
        <v>27</v>
      </c>
      <c r="E12" s="122" t="s">
        <v>52</v>
      </c>
      <c r="F12" s="350"/>
      <c r="G12" s="119">
        <v>3894009</v>
      </c>
      <c r="H12" s="119">
        <v>0</v>
      </c>
      <c r="I12" s="116">
        <f t="shared" si="0"/>
        <v>3894009</v>
      </c>
    </row>
    <row r="13" spans="2:9" ht="15" customHeight="1">
      <c r="B13" s="124" t="s">
        <v>41</v>
      </c>
      <c r="C13" s="120" t="s">
        <v>39</v>
      </c>
      <c r="D13" s="120" t="s">
        <v>40</v>
      </c>
      <c r="E13" s="122" t="s">
        <v>78</v>
      </c>
      <c r="F13" s="350"/>
      <c r="G13" s="119">
        <v>420256</v>
      </c>
      <c r="H13" s="119">
        <v>0</v>
      </c>
      <c r="I13" s="116">
        <f t="shared" si="0"/>
        <v>420256</v>
      </c>
    </row>
    <row r="14" spans="2:9" ht="66" customHeight="1">
      <c r="B14" s="124" t="s">
        <v>43</v>
      </c>
      <c r="C14" s="120" t="s">
        <v>42</v>
      </c>
      <c r="D14" s="120" t="s">
        <v>44</v>
      </c>
      <c r="E14" s="125" t="s">
        <v>77</v>
      </c>
      <c r="F14" s="350"/>
      <c r="G14" s="119">
        <v>200000</v>
      </c>
      <c r="H14" s="119">
        <v>0</v>
      </c>
      <c r="I14" s="116">
        <f t="shared" si="0"/>
        <v>200000</v>
      </c>
    </row>
    <row r="15" spans="2:9" ht="15">
      <c r="B15" s="120" t="s">
        <v>47</v>
      </c>
      <c r="C15" s="120" t="s">
        <v>48</v>
      </c>
      <c r="D15" s="120" t="s">
        <v>87</v>
      </c>
      <c r="E15" s="121" t="s">
        <v>4</v>
      </c>
      <c r="F15" s="350"/>
      <c r="G15" s="119">
        <v>21595</v>
      </c>
      <c r="H15" s="119">
        <v>0</v>
      </c>
      <c r="I15" s="116">
        <f t="shared" si="0"/>
        <v>21595</v>
      </c>
    </row>
    <row r="16" spans="2:9" ht="15">
      <c r="B16" s="120" t="s">
        <v>34</v>
      </c>
      <c r="C16" s="120">
        <v>8600</v>
      </c>
      <c r="D16" s="120" t="s">
        <v>29</v>
      </c>
      <c r="E16" s="122" t="s">
        <v>7</v>
      </c>
      <c r="F16" s="350"/>
      <c r="G16" s="119">
        <v>324905</v>
      </c>
      <c r="H16" s="119">
        <v>50000</v>
      </c>
      <c r="I16" s="116">
        <f t="shared" si="0"/>
        <v>374905</v>
      </c>
    </row>
    <row r="17" spans="2:9" ht="14.25">
      <c r="B17" s="130" t="s">
        <v>91</v>
      </c>
      <c r="C17" s="130" t="s">
        <v>92</v>
      </c>
      <c r="D17" s="130"/>
      <c r="E17" s="142" t="s">
        <v>96</v>
      </c>
      <c r="F17" s="350"/>
      <c r="G17" s="132">
        <v>0</v>
      </c>
      <c r="H17" s="132">
        <f>H18</f>
        <v>114973</v>
      </c>
      <c r="I17" s="132">
        <f>I18</f>
        <v>114973</v>
      </c>
    </row>
    <row r="18" spans="2:9" ht="15.75" customHeight="1">
      <c r="B18" s="120" t="s">
        <v>93</v>
      </c>
      <c r="C18" s="120" t="s">
        <v>94</v>
      </c>
      <c r="D18" s="120" t="s">
        <v>95</v>
      </c>
      <c r="E18" s="126" t="s">
        <v>97</v>
      </c>
      <c r="F18" s="350"/>
      <c r="G18" s="119">
        <v>0</v>
      </c>
      <c r="H18" s="119">
        <v>114973</v>
      </c>
      <c r="I18" s="116">
        <f t="shared" si="0"/>
        <v>114973</v>
      </c>
    </row>
    <row r="19" spans="2:9" ht="22.5" customHeight="1">
      <c r="B19" s="130" t="s">
        <v>100</v>
      </c>
      <c r="C19" s="130" t="s">
        <v>101</v>
      </c>
      <c r="D19" s="130"/>
      <c r="E19" s="146" t="s">
        <v>98</v>
      </c>
      <c r="F19" s="350"/>
      <c r="G19" s="132">
        <f>G20+G21+G23</f>
        <v>151094</v>
      </c>
      <c r="H19" s="132">
        <f>H20+H21+H23</f>
        <v>10000</v>
      </c>
      <c r="I19" s="116">
        <f t="shared" si="0"/>
        <v>161094</v>
      </c>
    </row>
    <row r="20" spans="2:9" ht="22.5" customHeight="1">
      <c r="B20" s="31" t="s">
        <v>124</v>
      </c>
      <c r="C20" s="31" t="s">
        <v>242</v>
      </c>
      <c r="D20" s="31" t="s">
        <v>95</v>
      </c>
      <c r="E20" s="48" t="s">
        <v>125</v>
      </c>
      <c r="F20" s="350"/>
      <c r="G20" s="119">
        <v>126094</v>
      </c>
      <c r="H20" s="119">
        <v>0</v>
      </c>
      <c r="I20" s="116">
        <f t="shared" si="0"/>
        <v>126094</v>
      </c>
    </row>
    <row r="21" spans="2:9" ht="17.25" customHeight="1">
      <c r="B21" s="120" t="s">
        <v>102</v>
      </c>
      <c r="C21" s="120" t="s">
        <v>103</v>
      </c>
      <c r="D21" s="120" t="s">
        <v>27</v>
      </c>
      <c r="E21" s="127" t="s">
        <v>99</v>
      </c>
      <c r="F21" s="350"/>
      <c r="G21" s="119">
        <v>25000</v>
      </c>
      <c r="H21" s="119">
        <v>0</v>
      </c>
      <c r="I21" s="116">
        <f t="shared" si="0"/>
        <v>25000</v>
      </c>
    </row>
    <row r="22" spans="2:9" ht="17.25" customHeight="1" hidden="1">
      <c r="B22" s="120"/>
      <c r="C22" s="120"/>
      <c r="D22" s="120"/>
      <c r="E22" s="127"/>
      <c r="F22" s="350"/>
      <c r="G22" s="119"/>
      <c r="H22" s="119"/>
      <c r="I22" s="116"/>
    </row>
    <row r="23" spans="2:9" ht="25.5">
      <c r="B23" s="31" t="s">
        <v>281</v>
      </c>
      <c r="C23" s="31" t="s">
        <v>282</v>
      </c>
      <c r="D23" s="31" t="s">
        <v>27</v>
      </c>
      <c r="E23" s="48" t="s">
        <v>283</v>
      </c>
      <c r="F23" s="350"/>
      <c r="G23" s="119">
        <v>0</v>
      </c>
      <c r="H23" s="119">
        <v>10000</v>
      </c>
      <c r="I23" s="116">
        <f t="shared" si="0"/>
        <v>10000</v>
      </c>
    </row>
    <row r="24" spans="2:9" ht="21.75" customHeight="1">
      <c r="B24" s="130" t="s">
        <v>116</v>
      </c>
      <c r="C24" s="130" t="s">
        <v>123</v>
      </c>
      <c r="D24" s="130"/>
      <c r="E24" s="143" t="s">
        <v>115</v>
      </c>
      <c r="F24" s="350"/>
      <c r="G24" s="132">
        <f>G25</f>
        <v>37278</v>
      </c>
      <c r="H24" s="132">
        <f>H25</f>
        <v>0</v>
      </c>
      <c r="I24" s="132">
        <f>I25</f>
        <v>37278</v>
      </c>
    </row>
    <row r="25" spans="2:9" ht="45" customHeight="1">
      <c r="B25" s="120" t="s">
        <v>117</v>
      </c>
      <c r="C25" s="120" t="s">
        <v>119</v>
      </c>
      <c r="D25" s="120" t="s">
        <v>118</v>
      </c>
      <c r="E25" s="128" t="s">
        <v>120</v>
      </c>
      <c r="F25" s="350"/>
      <c r="G25" s="119">
        <v>37278</v>
      </c>
      <c r="H25" s="119">
        <v>0</v>
      </c>
      <c r="I25" s="116">
        <f t="shared" si="0"/>
        <v>37278</v>
      </c>
    </row>
    <row r="26" spans="2:9" ht="142.5">
      <c r="B26" s="130" t="s">
        <v>88</v>
      </c>
      <c r="C26" s="130" t="s">
        <v>89</v>
      </c>
      <c r="D26" s="130"/>
      <c r="E26" s="131" t="s">
        <v>90</v>
      </c>
      <c r="F26" s="350"/>
      <c r="G26" s="132">
        <f>G27</f>
        <v>545000</v>
      </c>
      <c r="H26" s="132">
        <f>H27</f>
        <v>0</v>
      </c>
      <c r="I26" s="132">
        <f>I27</f>
        <v>545000</v>
      </c>
    </row>
    <row r="27" spans="2:9" ht="30.75" customHeight="1">
      <c r="B27" s="120" t="s">
        <v>62</v>
      </c>
      <c r="C27" s="120" t="s">
        <v>63</v>
      </c>
      <c r="D27" s="120" t="s">
        <v>64</v>
      </c>
      <c r="E27" s="122" t="s">
        <v>19</v>
      </c>
      <c r="F27" s="350"/>
      <c r="G27" s="119">
        <v>545000</v>
      </c>
      <c r="H27" s="119">
        <v>0</v>
      </c>
      <c r="I27" s="116">
        <f t="shared" si="0"/>
        <v>545000</v>
      </c>
    </row>
    <row r="28" spans="2:9" ht="30.75" customHeight="1">
      <c r="B28" s="42" t="s">
        <v>243</v>
      </c>
      <c r="C28" s="42"/>
      <c r="D28" s="42"/>
      <c r="E28" s="47" t="s">
        <v>262</v>
      </c>
      <c r="F28" s="350"/>
      <c r="G28" s="132">
        <f>G30</f>
        <v>12722</v>
      </c>
      <c r="H28" s="119">
        <f>H30</f>
        <v>0</v>
      </c>
      <c r="I28" s="116">
        <f t="shared" si="0"/>
        <v>12722</v>
      </c>
    </row>
    <row r="29" spans="2:9" ht="30.75" customHeight="1">
      <c r="B29" s="42" t="s">
        <v>245</v>
      </c>
      <c r="C29" s="42"/>
      <c r="D29" s="42"/>
      <c r="E29" s="47" t="s">
        <v>244</v>
      </c>
      <c r="F29" s="350"/>
      <c r="G29" s="119"/>
      <c r="H29" s="119"/>
      <c r="I29" s="116"/>
    </row>
    <row r="30" spans="2:9" ht="30.75" customHeight="1">
      <c r="B30" s="42" t="s">
        <v>250</v>
      </c>
      <c r="C30" s="42" t="s">
        <v>123</v>
      </c>
      <c r="D30" s="42"/>
      <c r="E30" s="50" t="s">
        <v>115</v>
      </c>
      <c r="F30" s="350"/>
      <c r="G30" s="119">
        <f>G31</f>
        <v>12722</v>
      </c>
      <c r="H30" s="119">
        <f>H31</f>
        <v>0</v>
      </c>
      <c r="I30" s="116">
        <f t="shared" si="0"/>
        <v>12722</v>
      </c>
    </row>
    <row r="31" spans="2:9" ht="48" customHeight="1">
      <c r="B31" s="28" t="s">
        <v>251</v>
      </c>
      <c r="C31" s="31" t="s">
        <v>119</v>
      </c>
      <c r="D31" s="31" t="s">
        <v>118</v>
      </c>
      <c r="E31" s="44" t="s">
        <v>120</v>
      </c>
      <c r="F31" s="350"/>
      <c r="G31" s="119">
        <v>12722</v>
      </c>
      <c r="H31" s="119">
        <v>0</v>
      </c>
      <c r="I31" s="116">
        <f t="shared" si="0"/>
        <v>12722</v>
      </c>
    </row>
    <row r="32" spans="2:9" ht="17.25" customHeight="1">
      <c r="B32" s="29" t="s">
        <v>252</v>
      </c>
      <c r="C32" s="42"/>
      <c r="D32" s="42"/>
      <c r="E32" s="47" t="s">
        <v>253</v>
      </c>
      <c r="F32" s="350"/>
      <c r="G32" s="132">
        <f>G34</f>
        <v>419938</v>
      </c>
      <c r="H32" s="119"/>
      <c r="I32" s="116">
        <f t="shared" si="0"/>
        <v>419938</v>
      </c>
    </row>
    <row r="33" spans="2:9" ht="23.25" customHeight="1">
      <c r="B33" s="29" t="s">
        <v>254</v>
      </c>
      <c r="C33" s="42"/>
      <c r="D33" s="42"/>
      <c r="E33" s="47" t="s">
        <v>253</v>
      </c>
      <c r="F33" s="350"/>
      <c r="G33" s="119"/>
      <c r="H33" s="119"/>
      <c r="I33" s="116"/>
    </row>
    <row r="34" spans="2:9" ht="21" customHeight="1">
      <c r="B34" s="31" t="s">
        <v>260</v>
      </c>
      <c r="C34" s="31" t="s">
        <v>48</v>
      </c>
      <c r="D34" s="31" t="s">
        <v>87</v>
      </c>
      <c r="E34" s="49" t="s">
        <v>4</v>
      </c>
      <c r="F34" s="350"/>
      <c r="G34" s="119">
        <v>419938</v>
      </c>
      <c r="H34" s="119">
        <v>0</v>
      </c>
      <c r="I34" s="116">
        <f t="shared" si="0"/>
        <v>419938</v>
      </c>
    </row>
    <row r="35" spans="2:9" ht="48" customHeight="1" hidden="1">
      <c r="B35" s="28"/>
      <c r="C35" s="31"/>
      <c r="D35" s="31"/>
      <c r="E35" s="44"/>
      <c r="F35" s="350"/>
      <c r="G35" s="119"/>
      <c r="H35" s="119"/>
      <c r="I35" s="116"/>
    </row>
    <row r="36" spans="1:9" s="133" customFormat="1" ht="14.25">
      <c r="A36" s="129"/>
      <c r="B36" s="130" t="s">
        <v>104</v>
      </c>
      <c r="C36" s="130"/>
      <c r="D36" s="130"/>
      <c r="E36" s="131" t="s">
        <v>107</v>
      </c>
      <c r="F36" s="351"/>
      <c r="G36" s="132"/>
      <c r="H36" s="132"/>
      <c r="I36" s="132"/>
    </row>
    <row r="37" spans="1:9" s="133" customFormat="1" ht="14.25">
      <c r="A37" s="129"/>
      <c r="B37" s="130" t="s">
        <v>105</v>
      </c>
      <c r="C37" s="130"/>
      <c r="D37" s="130"/>
      <c r="E37" s="131" t="s">
        <v>107</v>
      </c>
      <c r="F37" s="351"/>
      <c r="G37" s="132">
        <f>G38</f>
        <v>68238</v>
      </c>
      <c r="H37" s="132">
        <f>H38</f>
        <v>0</v>
      </c>
      <c r="I37" s="116">
        <f>H37+G37</f>
        <v>68238</v>
      </c>
    </row>
    <row r="38" spans="2:9" ht="36.75" customHeight="1">
      <c r="B38" s="120" t="s">
        <v>114</v>
      </c>
      <c r="C38" s="120" t="s">
        <v>112</v>
      </c>
      <c r="D38" s="120" t="s">
        <v>67</v>
      </c>
      <c r="E38" s="122" t="s">
        <v>113</v>
      </c>
      <c r="F38" s="352"/>
      <c r="G38" s="119">
        <v>68238</v>
      </c>
      <c r="H38" s="119">
        <v>0</v>
      </c>
      <c r="I38" s="116">
        <f>H38+G38</f>
        <v>68238</v>
      </c>
    </row>
    <row r="39" spans="2:9" ht="33.75" customHeight="1">
      <c r="B39" s="134"/>
      <c r="C39" s="134"/>
      <c r="D39" s="134"/>
      <c r="E39" s="135" t="s">
        <v>5</v>
      </c>
      <c r="F39" s="136"/>
      <c r="G39" s="137">
        <f>G7+G37+G28+G32</f>
        <v>8588581</v>
      </c>
      <c r="H39" s="137">
        <f>H7+H37+H28+H32</f>
        <v>5824601.88</v>
      </c>
      <c r="I39" s="137">
        <f>I7+I37+I28+I32</f>
        <v>14413182.879999999</v>
      </c>
    </row>
    <row r="41" spans="2:9" ht="21.75" customHeight="1">
      <c r="B41" s="286" t="s">
        <v>3</v>
      </c>
      <c r="C41" s="287"/>
      <c r="D41" s="18"/>
      <c r="E41" s="6"/>
      <c r="F41" s="5" t="s">
        <v>311</v>
      </c>
      <c r="G41" s="5"/>
      <c r="H41" s="5"/>
      <c r="I41" s="138"/>
    </row>
    <row r="42" spans="2:17" ht="20.25" customHeight="1" hidden="1">
      <c r="B42" s="344"/>
      <c r="C42" s="344"/>
      <c r="D42" s="344"/>
      <c r="E42" s="344"/>
      <c r="F42" s="344"/>
      <c r="G42" s="344"/>
      <c r="H42" s="344"/>
      <c r="I42" s="344"/>
      <c r="J42" s="139"/>
      <c r="K42" s="139"/>
      <c r="L42" s="139"/>
      <c r="M42" s="139"/>
      <c r="N42" s="139"/>
      <c r="O42" s="139"/>
      <c r="P42" s="139"/>
      <c r="Q42" s="139"/>
    </row>
    <row r="43" spans="2:17" ht="19.5" customHeight="1" hidden="1">
      <c r="B43" s="344"/>
      <c r="C43" s="344"/>
      <c r="D43" s="344"/>
      <c r="E43" s="344"/>
      <c r="F43" s="344"/>
      <c r="G43" s="344"/>
      <c r="H43" s="344"/>
      <c r="I43" s="344"/>
      <c r="J43" s="139"/>
      <c r="K43" s="139"/>
      <c r="L43" s="139"/>
      <c r="M43" s="139"/>
      <c r="N43" s="139"/>
      <c r="O43" s="139"/>
      <c r="P43" s="139"/>
      <c r="Q43" s="139"/>
    </row>
    <row r="44" ht="39" customHeight="1"/>
    <row r="45" spans="2:7" ht="12.75">
      <c r="B45" s="99"/>
      <c r="C45" s="99"/>
      <c r="D45" s="99"/>
      <c r="E45" s="99"/>
      <c r="F45" s="99"/>
      <c r="G45" s="99"/>
    </row>
  </sheetData>
  <sheetProtection/>
  <mergeCells count="7">
    <mergeCell ref="B42:I42"/>
    <mergeCell ref="B43:I43"/>
    <mergeCell ref="B1:I1"/>
    <mergeCell ref="G2:I2"/>
    <mergeCell ref="B3:I3"/>
    <mergeCell ref="B41:C41"/>
    <mergeCell ref="F8:F38"/>
  </mergeCells>
  <printOptions/>
  <pageMargins left="0.5118110236220472" right="0.5118110236220472" top="0.35433070866141736" bottom="0.6299212598425197" header="0.35433070866141736" footer="0.35433070866141736"/>
  <pageSetup horizontalDpi="600" verticalDpi="600" orientation="landscape" paperSize="9" scale="65" r:id="rId1"/>
  <headerFooter alignWithMargins="0">
    <oddFooter>&amp;R&amp;P</oddFooter>
  </headerFooter>
  <rowBreaks count="1" manualBreakCount="1">
    <brk id="4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G31"/>
  <sheetViews>
    <sheetView view="pageBreakPreview" zoomScaleSheetLayoutView="100" zoomScalePageLayoutView="0" workbookViewId="0" topLeftCell="A1">
      <selection activeCell="E14" sqref="E14"/>
    </sheetView>
  </sheetViews>
  <sheetFormatPr defaultColWidth="9.33203125" defaultRowHeight="12.75"/>
  <cols>
    <col min="1" max="1" width="15.66015625" style="91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7.25" customHeight="1">
      <c r="A1" s="55"/>
      <c r="B1" s="17"/>
      <c r="C1" s="17"/>
      <c r="D1" s="283" t="s">
        <v>287</v>
      </c>
      <c r="E1" s="283"/>
      <c r="F1" s="283"/>
      <c r="G1" s="283"/>
    </row>
    <row r="2" spans="1:7" ht="18" customHeight="1">
      <c r="A2" s="284" t="s">
        <v>133</v>
      </c>
      <c r="B2" s="285"/>
      <c r="C2" s="285"/>
      <c r="D2" s="285"/>
      <c r="E2" s="285"/>
      <c r="F2" s="285"/>
      <c r="G2" s="3"/>
    </row>
    <row r="3" spans="1:7" s="54" customFormat="1" ht="12.75">
      <c r="A3" s="55"/>
      <c r="B3" s="30"/>
      <c r="C3" s="30"/>
      <c r="D3" s="56"/>
      <c r="E3" s="56"/>
      <c r="F3" s="56"/>
      <c r="G3" s="57" t="s">
        <v>72</v>
      </c>
    </row>
    <row r="4" spans="1:7" s="54" customFormat="1" ht="12.75" hidden="1">
      <c r="A4" s="55"/>
      <c r="B4" s="30"/>
      <c r="C4" s="30"/>
      <c r="D4" s="56"/>
      <c r="E4" s="56"/>
      <c r="F4" s="56"/>
      <c r="G4" s="56"/>
    </row>
    <row r="5" spans="1:7" s="54" customFormat="1" ht="12.75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4" t="s">
        <v>122</v>
      </c>
      <c r="B6" s="294" t="s">
        <v>134</v>
      </c>
      <c r="C6" s="294" t="s">
        <v>0</v>
      </c>
      <c r="D6" s="297" t="s">
        <v>1</v>
      </c>
      <c r="E6" s="288" t="s">
        <v>2</v>
      </c>
      <c r="F6" s="289"/>
      <c r="G6" s="290"/>
    </row>
    <row r="7" spans="1:7" s="54" customFormat="1" ht="18.75" customHeight="1">
      <c r="A7" s="295"/>
      <c r="B7" s="295"/>
      <c r="C7" s="295"/>
      <c r="D7" s="298"/>
      <c r="E7" s="291"/>
      <c r="F7" s="292"/>
      <c r="G7" s="293"/>
    </row>
    <row r="8" spans="1:7" s="54" customFormat="1" ht="24" customHeight="1">
      <c r="A8" s="296"/>
      <c r="B8" s="296"/>
      <c r="C8" s="296"/>
      <c r="D8" s="296"/>
      <c r="E8" s="58" t="s">
        <v>0</v>
      </c>
      <c r="F8" s="58"/>
      <c r="G8" s="58" t="s">
        <v>135</v>
      </c>
    </row>
    <row r="9" spans="1:7" s="54" customFormat="1" ht="12.75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t="12.75" hidden="1">
      <c r="A10" s="59"/>
      <c r="B10" s="60"/>
      <c r="C10" s="60"/>
      <c r="D10" s="59"/>
      <c r="E10" s="59"/>
      <c r="F10" s="59"/>
      <c r="G10" s="59"/>
    </row>
    <row r="11" spans="1:7" s="54" customFormat="1" ht="38.25">
      <c r="A11" s="71">
        <v>11010100</v>
      </c>
      <c r="B11" s="72" t="s">
        <v>139</v>
      </c>
      <c r="C11" s="63">
        <f>D11+E11</f>
        <v>3050000</v>
      </c>
      <c r="D11" s="73">
        <f>2000000+1050000</f>
        <v>3050000</v>
      </c>
      <c r="E11" s="58">
        <v>0</v>
      </c>
      <c r="F11" s="58"/>
      <c r="G11" s="58">
        <v>0</v>
      </c>
    </row>
    <row r="12" spans="3:7" s="82" customFormat="1" ht="40.5" customHeight="1" hidden="1">
      <c r="C12" s="63">
        <f aca="true" t="shared" si="0" ref="C12:C23">D12+E12</f>
        <v>0</v>
      </c>
      <c r="D12" s="83">
        <v>0</v>
      </c>
      <c r="E12" s="83"/>
      <c r="F12" s="83"/>
      <c r="G12" s="83">
        <v>0</v>
      </c>
    </row>
    <row r="13" spans="1:7" s="54" customFormat="1" ht="15.75" customHeight="1" hidden="1">
      <c r="A13" s="76">
        <v>41020900</v>
      </c>
      <c r="B13" s="77" t="s">
        <v>204</v>
      </c>
      <c r="C13" s="63">
        <f t="shared" si="0"/>
        <v>0</v>
      </c>
      <c r="D13" s="58"/>
      <c r="E13" s="58">
        <v>0</v>
      </c>
      <c r="F13" s="58"/>
      <c r="G13" s="58">
        <f>D13+E13</f>
        <v>0</v>
      </c>
    </row>
    <row r="14" spans="1:7" s="54" customFormat="1" ht="12.75">
      <c r="A14" s="76">
        <v>41035000</v>
      </c>
      <c r="B14" s="77" t="s">
        <v>73</v>
      </c>
      <c r="C14" s="63">
        <f t="shared" si="0"/>
        <v>216000</v>
      </c>
      <c r="D14" s="58">
        <v>0</v>
      </c>
      <c r="E14" s="58">
        <v>216000</v>
      </c>
      <c r="F14" s="58"/>
      <c r="G14" s="58">
        <v>216000</v>
      </c>
    </row>
    <row r="15" spans="1:7" s="54" customFormat="1" ht="12.75" hidden="1">
      <c r="A15" s="84">
        <v>41030000</v>
      </c>
      <c r="B15" s="85" t="s">
        <v>203</v>
      </c>
      <c r="C15" s="63">
        <f t="shared" si="0"/>
        <v>0</v>
      </c>
      <c r="D15" s="86">
        <f>SUM(D16:D19)</f>
        <v>0</v>
      </c>
      <c r="E15" s="86">
        <f>SUM(E16:E19)</f>
        <v>0</v>
      </c>
      <c r="F15" s="86">
        <f>SUM(F16:F19)</f>
        <v>0</v>
      </c>
      <c r="G15" s="86">
        <f aca="true" t="shared" si="1" ref="G15:G22">D15+E15</f>
        <v>0</v>
      </c>
    </row>
    <row r="16" spans="1:7" s="54" customFormat="1" ht="12.75" hidden="1">
      <c r="A16" s="87">
        <v>41035003</v>
      </c>
      <c r="B16" s="88" t="s">
        <v>208</v>
      </c>
      <c r="C16" s="63">
        <f t="shared" si="0"/>
        <v>0</v>
      </c>
      <c r="D16" s="58">
        <v>0</v>
      </c>
      <c r="E16" s="58"/>
      <c r="F16" s="58"/>
      <c r="G16" s="58">
        <f t="shared" si="1"/>
        <v>0</v>
      </c>
    </row>
    <row r="17" spans="1:7" s="54" customFormat="1" ht="51" hidden="1">
      <c r="A17" s="87">
        <v>41036300</v>
      </c>
      <c r="B17" s="88" t="s">
        <v>209</v>
      </c>
      <c r="C17" s="63">
        <f t="shared" si="0"/>
        <v>0</v>
      </c>
      <c r="D17" s="58"/>
      <c r="E17" s="58"/>
      <c r="F17" s="58"/>
      <c r="G17" s="58">
        <f t="shared" si="1"/>
        <v>0</v>
      </c>
    </row>
    <row r="18" spans="1:7" s="54" customFormat="1" ht="38.25" hidden="1">
      <c r="A18" s="87">
        <v>41037000</v>
      </c>
      <c r="B18" s="88" t="s">
        <v>210</v>
      </c>
      <c r="C18" s="63">
        <f t="shared" si="0"/>
        <v>0</v>
      </c>
      <c r="D18" s="58"/>
      <c r="E18" s="58"/>
      <c r="F18" s="58"/>
      <c r="G18" s="58">
        <f t="shared" si="1"/>
        <v>0</v>
      </c>
    </row>
    <row r="19" spans="1:7" s="54" customFormat="1" ht="76.5" hidden="1">
      <c r="A19" s="87">
        <v>41036600</v>
      </c>
      <c r="B19" s="89" t="s">
        <v>211</v>
      </c>
      <c r="C19" s="63">
        <f t="shared" si="0"/>
        <v>0</v>
      </c>
      <c r="D19" s="58"/>
      <c r="E19" s="58"/>
      <c r="F19" s="58"/>
      <c r="G19" s="58">
        <f t="shared" si="1"/>
        <v>0</v>
      </c>
    </row>
    <row r="20" spans="1:7" s="54" customFormat="1" ht="63.75" hidden="1">
      <c r="A20" s="87">
        <v>41037900</v>
      </c>
      <c r="B20" s="88" t="s">
        <v>212</v>
      </c>
      <c r="C20" s="63">
        <f t="shared" si="0"/>
        <v>0</v>
      </c>
      <c r="D20" s="58"/>
      <c r="E20" s="58"/>
      <c r="F20" s="58"/>
      <c r="G20" s="58">
        <f t="shared" si="1"/>
        <v>0</v>
      </c>
    </row>
    <row r="21" spans="1:7" s="54" customFormat="1" ht="51" hidden="1">
      <c r="A21" s="87">
        <v>41021300</v>
      </c>
      <c r="B21" s="90" t="s">
        <v>213</v>
      </c>
      <c r="C21" s="63">
        <f t="shared" si="0"/>
        <v>0</v>
      </c>
      <c r="D21" s="58"/>
      <c r="E21" s="58"/>
      <c r="F21" s="58"/>
      <c r="G21" s="58">
        <f t="shared" si="1"/>
        <v>0</v>
      </c>
    </row>
    <row r="22" spans="1:7" s="54" customFormat="1" ht="25.5" hidden="1">
      <c r="A22" s="87">
        <v>43010000</v>
      </c>
      <c r="B22" s="88" t="s">
        <v>214</v>
      </c>
      <c r="C22" s="63">
        <f t="shared" si="0"/>
        <v>0</v>
      </c>
      <c r="D22" s="67"/>
      <c r="E22" s="67"/>
      <c r="F22" s="67">
        <f>E22</f>
        <v>0</v>
      </c>
      <c r="G22" s="67">
        <f t="shared" si="1"/>
        <v>0</v>
      </c>
    </row>
    <row r="23" spans="1:7" s="54" customFormat="1" ht="12.75" hidden="1">
      <c r="A23" s="87"/>
      <c r="B23" s="88"/>
      <c r="C23" s="63">
        <f t="shared" si="0"/>
        <v>0</v>
      </c>
      <c r="D23" s="67"/>
      <c r="E23" s="67"/>
      <c r="F23" s="67"/>
      <c r="G23" s="67"/>
    </row>
    <row r="24" spans="1:7" s="54" customFormat="1" ht="12.75">
      <c r="A24" s="300" t="s">
        <v>0</v>
      </c>
      <c r="B24" s="300"/>
      <c r="C24" s="63">
        <f>C11+C14</f>
        <v>3266000</v>
      </c>
      <c r="D24" s="63">
        <f>D11+D14</f>
        <v>3050000</v>
      </c>
      <c r="E24" s="63">
        <f>E11+E14</f>
        <v>216000</v>
      </c>
      <c r="F24" s="63">
        <f>F11+F14</f>
        <v>0</v>
      </c>
      <c r="G24" s="63">
        <f>G11+G14</f>
        <v>216000</v>
      </c>
    </row>
    <row r="27" spans="2:5" ht="12.75" hidden="1">
      <c r="B27" s="18" t="s">
        <v>3</v>
      </c>
      <c r="D27" s="6"/>
      <c r="E27" s="4" t="s">
        <v>216</v>
      </c>
    </row>
    <row r="29" spans="1:7" ht="12.75">
      <c r="A29" s="286" t="s">
        <v>284</v>
      </c>
      <c r="B29" s="287"/>
      <c r="E29" s="6"/>
      <c r="F29" s="4" t="s">
        <v>217</v>
      </c>
      <c r="G29" s="5" t="s">
        <v>285</v>
      </c>
    </row>
    <row r="31" spans="1:7" ht="12.75" hidden="1">
      <c r="A31" s="92" t="s">
        <v>218</v>
      </c>
      <c r="E31" s="6"/>
      <c r="F31" s="4" t="s">
        <v>219</v>
      </c>
      <c r="G31" s="5" t="s">
        <v>220</v>
      </c>
    </row>
  </sheetData>
  <sheetProtection/>
  <mergeCells count="9">
    <mergeCell ref="A24:B24"/>
    <mergeCell ref="A29:B29"/>
    <mergeCell ref="D1:G1"/>
    <mergeCell ref="A2:F2"/>
    <mergeCell ref="A6:A8"/>
    <mergeCell ref="B6:B8"/>
    <mergeCell ref="C6:C8"/>
    <mergeCell ref="D6:D8"/>
    <mergeCell ref="E6:G7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85" zoomScaleNormal="75" zoomScaleSheetLayoutView="85" zoomScalePageLayoutView="0" workbookViewId="0" topLeftCell="B34">
      <selection activeCell="F60" sqref="F60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6:18" ht="69" customHeight="1">
      <c r="F2" s="19"/>
      <c r="G2" s="19"/>
      <c r="H2" s="19"/>
      <c r="I2" s="19"/>
      <c r="J2" s="19"/>
      <c r="K2" s="19"/>
      <c r="L2" s="19"/>
      <c r="M2" s="283" t="s">
        <v>288</v>
      </c>
      <c r="N2" s="283"/>
      <c r="O2" s="283"/>
      <c r="P2" s="283"/>
      <c r="Q2" s="283"/>
      <c r="R2" s="7"/>
    </row>
    <row r="3" spans="2:17" ht="30" customHeight="1">
      <c r="B3" s="310" t="s">
        <v>30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7" s="8" customFormat="1" ht="21.75" customHeight="1">
      <c r="A5" s="9"/>
      <c r="B5" s="303" t="s">
        <v>31</v>
      </c>
      <c r="C5" s="311" t="s">
        <v>23</v>
      </c>
      <c r="D5" s="303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7" s="8" customFormat="1" ht="16.5" customHeight="1">
      <c r="A6" s="11"/>
      <c r="B6" s="303"/>
      <c r="C6" s="312"/>
      <c r="D6" s="303"/>
      <c r="E6" s="306"/>
      <c r="F6" s="306" t="s">
        <v>0</v>
      </c>
      <c r="G6" s="305" t="s">
        <v>8</v>
      </c>
      <c r="H6" s="306" t="s">
        <v>9</v>
      </c>
      <c r="I6" s="306"/>
      <c r="J6" s="305" t="s">
        <v>10</v>
      </c>
      <c r="K6" s="306" t="s">
        <v>0</v>
      </c>
      <c r="L6" s="305" t="s">
        <v>8</v>
      </c>
      <c r="M6" s="306" t="s">
        <v>9</v>
      </c>
      <c r="N6" s="306"/>
      <c r="O6" s="305" t="s">
        <v>10</v>
      </c>
      <c r="P6" s="10" t="s">
        <v>9</v>
      </c>
      <c r="Q6" s="306"/>
    </row>
    <row r="7" spans="1:17" s="8" customFormat="1" ht="20.25" customHeight="1">
      <c r="A7" s="12"/>
      <c r="B7" s="303"/>
      <c r="C7" s="312"/>
      <c r="D7" s="303"/>
      <c r="E7" s="306"/>
      <c r="F7" s="306"/>
      <c r="G7" s="305"/>
      <c r="H7" s="306" t="s">
        <v>11</v>
      </c>
      <c r="I7" s="306" t="s">
        <v>12</v>
      </c>
      <c r="J7" s="305"/>
      <c r="K7" s="306"/>
      <c r="L7" s="305"/>
      <c r="M7" s="306" t="s">
        <v>11</v>
      </c>
      <c r="N7" s="306" t="s">
        <v>12</v>
      </c>
      <c r="O7" s="305"/>
      <c r="P7" s="306" t="s">
        <v>13</v>
      </c>
      <c r="Q7" s="306"/>
    </row>
    <row r="8" spans="1:17" s="8" customFormat="1" ht="51" customHeight="1">
      <c r="A8" s="13"/>
      <c r="B8" s="303"/>
      <c r="C8" s="313"/>
      <c r="D8" s="303"/>
      <c r="E8" s="306"/>
      <c r="F8" s="306"/>
      <c r="G8" s="305"/>
      <c r="H8" s="306"/>
      <c r="I8" s="306"/>
      <c r="J8" s="305"/>
      <c r="K8" s="306"/>
      <c r="L8" s="305"/>
      <c r="M8" s="306"/>
      <c r="N8" s="306"/>
      <c r="O8" s="305"/>
      <c r="P8" s="306"/>
      <c r="Q8" s="306"/>
    </row>
    <row r="9" spans="1:17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>F11+F12+F19+F21+F23+F22</f>
        <v>-7582593</v>
      </c>
      <c r="G10" s="34">
        <f aca="true" t="shared" si="0" ref="G10:Q10">G11+G12+G19+G21+G23+G22</f>
        <v>-7638687</v>
      </c>
      <c r="H10" s="34">
        <f t="shared" si="0"/>
        <v>0</v>
      </c>
      <c r="I10" s="34">
        <f t="shared" si="0"/>
        <v>0</v>
      </c>
      <c r="J10" s="34">
        <f t="shared" si="0"/>
        <v>56094</v>
      </c>
      <c r="K10" s="34">
        <f t="shared" si="0"/>
        <v>493850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493850</v>
      </c>
      <c r="P10" s="34">
        <f t="shared" si="0"/>
        <v>493850</v>
      </c>
      <c r="Q10" s="34">
        <f t="shared" si="0"/>
        <v>-7088743</v>
      </c>
    </row>
    <row r="11" spans="1:17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261</v>
      </c>
      <c r="F11" s="33">
        <f>G11</f>
        <v>2096025</v>
      </c>
      <c r="G11" s="33">
        <v>2096025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2096025</v>
      </c>
    </row>
    <row r="12" spans="1:17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20000</v>
      </c>
      <c r="G12" s="33">
        <v>20000</v>
      </c>
      <c r="H12" s="33">
        <v>0</v>
      </c>
      <c r="I12" s="33">
        <v>0</v>
      </c>
      <c r="J12" s="33">
        <v>0</v>
      </c>
      <c r="K12" s="45">
        <f>L12+O12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4">
        <f>F12+K12</f>
        <v>20000</v>
      </c>
    </row>
    <row r="13" spans="1:17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128</v>
      </c>
      <c r="C14" s="42"/>
      <c r="D14" s="42"/>
      <c r="E14" s="47" t="s">
        <v>65</v>
      </c>
      <c r="F14" s="34" t="e">
        <f>F15+F16+#REF!+#REF!</f>
        <v>#REF!</v>
      </c>
      <c r="G14" s="34" t="e">
        <f>G15+G16+#REF!+#REF!</f>
        <v>#REF!</v>
      </c>
      <c r="H14" s="34" t="e">
        <f>H15+H16+#REF!+#REF!</f>
        <v>#REF!</v>
      </c>
      <c r="I14" s="34" t="e">
        <f>I15+I16+#REF!+#REF!</f>
        <v>#REF!</v>
      </c>
      <c r="J14" s="34" t="e">
        <f>J15+J16+#REF!+#REF!</f>
        <v>#REF!</v>
      </c>
      <c r="K14" s="34" t="e">
        <f>K15+K16+#REF!+#REF!</f>
        <v>#REF!</v>
      </c>
      <c r="L14" s="34" t="e">
        <f>L15+L16+#REF!+#REF!</f>
        <v>#REF!</v>
      </c>
      <c r="M14" s="34" t="e">
        <f>M15+M16+#REF!+#REF!</f>
        <v>#REF!</v>
      </c>
      <c r="N14" s="34" t="e">
        <f>N15+N16+#REF!+#REF!</f>
        <v>#REF!</v>
      </c>
      <c r="O14" s="34" t="e">
        <f>O15+O16+#REF!+#REF!</f>
        <v>#REF!</v>
      </c>
      <c r="P14" s="34" t="e">
        <f>P15+P16+#REF!+#REF!</f>
        <v>#REF!</v>
      </c>
      <c r="Q14" s="34" t="e">
        <f>Q15+Q16+#REF!+#REF!</f>
        <v>#REF!</v>
      </c>
    </row>
    <row r="15" spans="1:17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 hidden="1">
      <c r="A17" s="3"/>
      <c r="B17" s="31"/>
      <c r="C17" s="31"/>
      <c r="D17" s="31"/>
      <c r="E17" s="44"/>
      <c r="F17" s="33"/>
      <c r="G17" s="33"/>
      <c r="H17" s="33"/>
      <c r="I17" s="33"/>
      <c r="J17" s="33"/>
      <c r="K17" s="45"/>
      <c r="L17" s="33"/>
      <c r="M17" s="33"/>
      <c r="N17" s="33"/>
      <c r="O17" s="33"/>
      <c r="P17" s="33"/>
      <c r="Q17" s="34"/>
    </row>
    <row r="18" spans="1:17" s="8" customFormat="1" ht="12.75" hidden="1">
      <c r="A18" s="3"/>
      <c r="B18" s="31"/>
      <c r="C18" s="31"/>
      <c r="D18" s="31"/>
      <c r="E18" s="44"/>
      <c r="F18" s="33"/>
      <c r="G18" s="33"/>
      <c r="H18" s="33"/>
      <c r="I18" s="33"/>
      <c r="J18" s="33"/>
      <c r="K18" s="45"/>
      <c r="L18" s="33"/>
      <c r="M18" s="33"/>
      <c r="N18" s="33"/>
      <c r="O18" s="33"/>
      <c r="P18" s="33"/>
      <c r="Q18" s="34"/>
    </row>
    <row r="19" spans="1:17" s="8" customFormat="1" ht="25.5">
      <c r="A19" s="3"/>
      <c r="B19" s="31" t="s">
        <v>100</v>
      </c>
      <c r="C19" s="31" t="s">
        <v>101</v>
      </c>
      <c r="D19" s="31"/>
      <c r="E19" s="48" t="s">
        <v>98</v>
      </c>
      <c r="F19" s="33">
        <f>F20</f>
        <v>83628</v>
      </c>
      <c r="G19" s="33">
        <f aca="true" t="shared" si="1" ref="G19:Q19">G20</f>
        <v>0</v>
      </c>
      <c r="H19" s="33">
        <f t="shared" si="1"/>
        <v>0</v>
      </c>
      <c r="I19" s="33">
        <f t="shared" si="1"/>
        <v>0</v>
      </c>
      <c r="J19" s="33">
        <f t="shared" si="1"/>
        <v>83628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 t="shared" si="1"/>
        <v>0</v>
      </c>
      <c r="O19" s="33">
        <f t="shared" si="1"/>
        <v>0</v>
      </c>
      <c r="P19" s="33">
        <f t="shared" si="1"/>
        <v>0</v>
      </c>
      <c r="Q19" s="33">
        <f t="shared" si="1"/>
        <v>83628</v>
      </c>
    </row>
    <row r="20" spans="1:17" s="8" customFormat="1" ht="12.75">
      <c r="A20" s="3"/>
      <c r="B20" s="31" t="s">
        <v>124</v>
      </c>
      <c r="C20" s="31" t="s">
        <v>242</v>
      </c>
      <c r="D20" s="31" t="s">
        <v>95</v>
      </c>
      <c r="E20" s="48" t="s">
        <v>125</v>
      </c>
      <c r="F20" s="33">
        <f>G20+H20+I20+J20</f>
        <v>83628</v>
      </c>
      <c r="G20" s="33">
        <v>0</v>
      </c>
      <c r="H20" s="33">
        <v>0</v>
      </c>
      <c r="I20" s="33">
        <f>I21</f>
        <v>0</v>
      </c>
      <c r="J20" s="33">
        <f>56094+27534</f>
        <v>83628</v>
      </c>
      <c r="K20" s="45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4">
        <f>F20+K20</f>
        <v>83628</v>
      </c>
    </row>
    <row r="21" spans="1:17" s="8" customFormat="1" ht="12.75">
      <c r="A21" s="3"/>
      <c r="B21" s="24" t="s">
        <v>25</v>
      </c>
      <c r="C21" s="24" t="s">
        <v>26</v>
      </c>
      <c r="D21" s="24" t="s">
        <v>27</v>
      </c>
      <c r="E21" s="44" t="s">
        <v>52</v>
      </c>
      <c r="F21" s="33">
        <f>G21+I21+J21</f>
        <v>217754</v>
      </c>
      <c r="G21" s="33">
        <f>20000+50000+125288+50000</f>
        <v>245288</v>
      </c>
      <c r="H21" s="33">
        <v>0</v>
      </c>
      <c r="I21" s="33">
        <v>0</v>
      </c>
      <c r="J21" s="33">
        <v>-27534</v>
      </c>
      <c r="K21" s="45">
        <f>L21+O21</f>
        <v>0</v>
      </c>
      <c r="L21" s="33">
        <v>0</v>
      </c>
      <c r="M21" s="33">
        <v>0</v>
      </c>
      <c r="N21" s="33">
        <v>0</v>
      </c>
      <c r="O21" s="33">
        <f>P21</f>
        <v>0</v>
      </c>
      <c r="P21" s="33">
        <v>0</v>
      </c>
      <c r="Q21" s="34">
        <f>F21+K21</f>
        <v>217754</v>
      </c>
    </row>
    <row r="22" spans="1:17" s="8" customFormat="1" ht="24.75" customHeight="1">
      <c r="A22" s="3"/>
      <c r="B22" s="31" t="s">
        <v>49</v>
      </c>
      <c r="C22" s="31" t="s">
        <v>50</v>
      </c>
      <c r="D22" s="31" t="s">
        <v>51</v>
      </c>
      <c r="E22" s="49" t="s">
        <v>81</v>
      </c>
      <c r="F22" s="33">
        <f>G22+H22+I22+J22</f>
        <v>0</v>
      </c>
      <c r="G22" s="33">
        <v>0</v>
      </c>
      <c r="H22" s="33">
        <v>0</v>
      </c>
      <c r="I22" s="33">
        <v>0</v>
      </c>
      <c r="J22" s="33">
        <v>0</v>
      </c>
      <c r="K22" s="45">
        <f>L22+O22</f>
        <v>493850</v>
      </c>
      <c r="L22" s="33">
        <v>0</v>
      </c>
      <c r="M22" s="33">
        <v>0</v>
      </c>
      <c r="N22" s="33">
        <v>0</v>
      </c>
      <c r="O22" s="33">
        <f>P22</f>
        <v>493850</v>
      </c>
      <c r="P22" s="33">
        <f>200000+35000+42850+216000</f>
        <v>493850</v>
      </c>
      <c r="Q22" s="34">
        <f>F22+K22</f>
        <v>493850</v>
      </c>
    </row>
    <row r="23" spans="1:17" s="8" customFormat="1" ht="12.75">
      <c r="A23" s="3"/>
      <c r="B23" s="31" t="s">
        <v>55</v>
      </c>
      <c r="C23" s="31" t="s">
        <v>53</v>
      </c>
      <c r="D23" s="31" t="s">
        <v>54</v>
      </c>
      <c r="E23" s="44" t="s">
        <v>82</v>
      </c>
      <c r="F23" s="33">
        <f>G23+H23+I23+J23</f>
        <v>-10000000</v>
      </c>
      <c r="G23" s="45">
        <f>-10000000</f>
        <v>-10000000</v>
      </c>
      <c r="H23" s="45">
        <v>0</v>
      </c>
      <c r="I23" s="45">
        <v>0</v>
      </c>
      <c r="J23" s="45">
        <v>0</v>
      </c>
      <c r="K23" s="45">
        <f>L23+O23</f>
        <v>0</v>
      </c>
      <c r="L23" s="45">
        <v>0</v>
      </c>
      <c r="M23" s="45">
        <v>0</v>
      </c>
      <c r="N23" s="45">
        <v>0</v>
      </c>
      <c r="O23" s="45">
        <f>P23</f>
        <v>0</v>
      </c>
      <c r="P23" s="45">
        <v>0</v>
      </c>
      <c r="Q23" s="34">
        <f>F23+K23</f>
        <v>-10000000</v>
      </c>
    </row>
    <row r="24" spans="1:17" s="8" customFormat="1" ht="12.75">
      <c r="A24" s="3"/>
      <c r="B24" s="42"/>
      <c r="C24" s="31"/>
      <c r="D24" s="31"/>
      <c r="E24" s="46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25.5">
      <c r="A25" s="3"/>
      <c r="B25" s="42" t="s">
        <v>243</v>
      </c>
      <c r="C25" s="42"/>
      <c r="D25" s="42"/>
      <c r="E25" s="47" t="s">
        <v>262</v>
      </c>
      <c r="F25" s="34">
        <f>F26</f>
        <v>6415881</v>
      </c>
      <c r="G25" s="34">
        <f aca="true" t="shared" si="2" ref="G25:Q25">G26</f>
        <v>6415881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2"/>
        <v>0</v>
      </c>
      <c r="O25" s="34">
        <f t="shared" si="2"/>
        <v>0</v>
      </c>
      <c r="P25" s="34">
        <f t="shared" si="2"/>
        <v>0</v>
      </c>
      <c r="Q25" s="34">
        <f t="shared" si="2"/>
        <v>6415881</v>
      </c>
    </row>
    <row r="26" spans="1:17" s="8" customFormat="1" ht="25.5">
      <c r="A26" s="3"/>
      <c r="B26" s="42" t="s">
        <v>245</v>
      </c>
      <c r="C26" s="42"/>
      <c r="D26" s="42"/>
      <c r="E26" s="47" t="s">
        <v>244</v>
      </c>
      <c r="F26" s="34">
        <f>F27+F28+F30+F31+F32+F33</f>
        <v>6415881</v>
      </c>
      <c r="G26" s="34">
        <f aca="true" t="shared" si="3" ref="G26:Q26">G27+G28+G30+G31+G32+G33</f>
        <v>6415881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0</v>
      </c>
      <c r="P26" s="34">
        <f t="shared" si="3"/>
        <v>0</v>
      </c>
      <c r="Q26" s="34">
        <f t="shared" si="3"/>
        <v>6415881</v>
      </c>
    </row>
    <row r="27" spans="1:17" s="8" customFormat="1" ht="36.75" customHeight="1">
      <c r="A27" s="3"/>
      <c r="B27" s="42" t="s">
        <v>246</v>
      </c>
      <c r="C27" s="42" t="s">
        <v>67</v>
      </c>
      <c r="D27" s="42" t="s">
        <v>33</v>
      </c>
      <c r="E27" s="47" t="s">
        <v>267</v>
      </c>
      <c r="F27" s="33">
        <f>G27</f>
        <v>211749</v>
      </c>
      <c r="G27" s="33">
        <v>211749</v>
      </c>
      <c r="H27" s="34">
        <v>0</v>
      </c>
      <c r="I27" s="34">
        <v>0</v>
      </c>
      <c r="J27" s="34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 aca="true" t="shared" si="4" ref="Q27:Q32">F27+K27</f>
        <v>211749</v>
      </c>
    </row>
    <row r="28" spans="1:17" s="8" customFormat="1" ht="27" customHeight="1">
      <c r="A28" s="3"/>
      <c r="B28" s="42" t="s">
        <v>263</v>
      </c>
      <c r="C28" s="42"/>
      <c r="D28" s="42"/>
      <c r="E28" s="47" t="s">
        <v>266</v>
      </c>
      <c r="F28" s="34">
        <f>F29</f>
        <v>323131</v>
      </c>
      <c r="G28" s="34">
        <f aca="true" t="shared" si="5" ref="G28:Q28">G29</f>
        <v>323131</v>
      </c>
      <c r="H28" s="34">
        <f t="shared" si="5"/>
        <v>0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N28" s="34">
        <f t="shared" si="5"/>
        <v>0</v>
      </c>
      <c r="O28" s="34">
        <f t="shared" si="5"/>
        <v>0</v>
      </c>
      <c r="P28" s="34">
        <f t="shared" si="5"/>
        <v>0</v>
      </c>
      <c r="Q28" s="34">
        <f t="shared" si="5"/>
        <v>323131</v>
      </c>
    </row>
    <row r="29" spans="1:17" s="8" customFormat="1" ht="25.5">
      <c r="A29" s="3"/>
      <c r="B29" s="31" t="s">
        <v>247</v>
      </c>
      <c r="C29" s="31" t="s">
        <v>264</v>
      </c>
      <c r="D29" s="31" t="s">
        <v>265</v>
      </c>
      <c r="E29" s="44" t="s">
        <v>132</v>
      </c>
      <c r="F29" s="33">
        <f>G29+J29</f>
        <v>323131</v>
      </c>
      <c r="G29" s="33">
        <v>323131</v>
      </c>
      <c r="H29" s="33">
        <v>0</v>
      </c>
      <c r="I29" s="33">
        <v>0</v>
      </c>
      <c r="J29" s="33">
        <v>0</v>
      </c>
      <c r="K29" s="45">
        <f>L29+O29</f>
        <v>0</v>
      </c>
      <c r="L29" s="33">
        <v>0</v>
      </c>
      <c r="M29" s="33">
        <v>0</v>
      </c>
      <c r="N29" s="33">
        <v>0</v>
      </c>
      <c r="O29" s="33">
        <f>P29</f>
        <v>0</v>
      </c>
      <c r="P29" s="33">
        <v>0</v>
      </c>
      <c r="Q29" s="34">
        <f t="shared" si="4"/>
        <v>323131</v>
      </c>
    </row>
    <row r="30" spans="1:17" s="8" customFormat="1" ht="19.5" customHeight="1">
      <c r="A30" s="3"/>
      <c r="B30" s="31" t="s">
        <v>248</v>
      </c>
      <c r="C30" s="31" t="s">
        <v>36</v>
      </c>
      <c r="D30" s="31" t="s">
        <v>37</v>
      </c>
      <c r="E30" s="44" t="s">
        <v>35</v>
      </c>
      <c r="F30" s="33">
        <f>G30</f>
        <v>1375082</v>
      </c>
      <c r="G30" s="33">
        <f>227000+3500+1144582</f>
        <v>1375082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 t="shared" si="4"/>
        <v>1375082</v>
      </c>
    </row>
    <row r="31" spans="1:17" s="8" customFormat="1" ht="53.25" customHeight="1">
      <c r="A31" s="3"/>
      <c r="B31" s="140" t="s">
        <v>278</v>
      </c>
      <c r="C31" s="140" t="s">
        <v>275</v>
      </c>
      <c r="D31" s="140" t="s">
        <v>276</v>
      </c>
      <c r="E31" s="94" t="s">
        <v>277</v>
      </c>
      <c r="F31" s="119">
        <f>G31</f>
        <v>3083696</v>
      </c>
      <c r="G31" s="119">
        <f>100000+2983696</f>
        <v>3083696</v>
      </c>
      <c r="H31" s="119">
        <v>0</v>
      </c>
      <c r="I31" s="119">
        <v>0</v>
      </c>
      <c r="J31" s="119">
        <v>0</v>
      </c>
      <c r="K31" s="119">
        <f>O31</f>
        <v>0</v>
      </c>
      <c r="L31" s="119">
        <v>0</v>
      </c>
      <c r="M31" s="119">
        <v>0</v>
      </c>
      <c r="N31" s="119">
        <v>0</v>
      </c>
      <c r="O31" s="119">
        <f>P31</f>
        <v>0</v>
      </c>
      <c r="P31" s="119">
        <v>0</v>
      </c>
      <c r="Q31" s="132">
        <f t="shared" si="4"/>
        <v>3083696</v>
      </c>
    </row>
    <row r="32" spans="1:17" s="8" customFormat="1" ht="30.75" customHeight="1">
      <c r="A32" s="3"/>
      <c r="B32" s="31" t="s">
        <v>249</v>
      </c>
      <c r="C32" s="31" t="s">
        <v>40</v>
      </c>
      <c r="D32" s="31" t="s">
        <v>227</v>
      </c>
      <c r="E32" s="44" t="s">
        <v>229</v>
      </c>
      <c r="F32" s="33">
        <f>G32</f>
        <v>1306722</v>
      </c>
      <c r="G32" s="33">
        <v>1306722</v>
      </c>
      <c r="H32" s="33">
        <v>0</v>
      </c>
      <c r="I32" s="33">
        <v>0</v>
      </c>
      <c r="J32" s="33">
        <v>0</v>
      </c>
      <c r="K32" s="45">
        <f>L32+O32</f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4">
        <f t="shared" si="4"/>
        <v>1306722</v>
      </c>
    </row>
    <row r="33" spans="1:17" s="8" customFormat="1" ht="30.75" customHeight="1">
      <c r="A33" s="3"/>
      <c r="B33" s="31" t="s">
        <v>286</v>
      </c>
      <c r="C33" s="31" t="s">
        <v>48</v>
      </c>
      <c r="D33" s="31" t="s">
        <v>87</v>
      </c>
      <c r="E33" s="49" t="s">
        <v>4</v>
      </c>
      <c r="F33" s="33">
        <f>G33</f>
        <v>115501</v>
      </c>
      <c r="G33" s="33">
        <v>115501</v>
      </c>
      <c r="H33" s="33">
        <v>0</v>
      </c>
      <c r="I33" s="33">
        <v>0</v>
      </c>
      <c r="J33" s="33">
        <v>0</v>
      </c>
      <c r="K33" s="45">
        <f>L33+O33</f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4">
        <f>F33+K33</f>
        <v>115501</v>
      </c>
    </row>
    <row r="34" s="8" customFormat="1" ht="12.75">
      <c r="A34" s="3"/>
    </row>
    <row r="35" spans="1:17" s="8" customFormat="1" ht="1.5" customHeight="1">
      <c r="A35" s="3"/>
      <c r="B35" s="28"/>
      <c r="C35" s="31"/>
      <c r="D35" s="31"/>
      <c r="E35" s="46"/>
      <c r="F35" s="33"/>
      <c r="G35" s="33"/>
      <c r="H35" s="33"/>
      <c r="I35" s="33"/>
      <c r="J35" s="33"/>
      <c r="K35" s="45">
        <f>L35+O35</f>
        <v>0</v>
      </c>
      <c r="L35" s="33"/>
      <c r="M35" s="33"/>
      <c r="N35" s="33"/>
      <c r="O35" s="33"/>
      <c r="P35" s="33"/>
      <c r="Q35" s="34"/>
    </row>
    <row r="36" spans="1:17" s="8" customFormat="1" ht="25.5">
      <c r="A36" s="3"/>
      <c r="B36" s="29" t="s">
        <v>252</v>
      </c>
      <c r="C36" s="42"/>
      <c r="D36" s="42"/>
      <c r="E36" s="47" t="s">
        <v>253</v>
      </c>
      <c r="F36" s="34">
        <f>F37</f>
        <v>2181193</v>
      </c>
      <c r="G36" s="34">
        <f aca="true" t="shared" si="6" ref="G36:Q36">G37</f>
        <v>2181193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2181193</v>
      </c>
    </row>
    <row r="37" spans="1:17" s="8" customFormat="1" ht="25.5">
      <c r="A37" s="3"/>
      <c r="B37" s="29" t="s">
        <v>254</v>
      </c>
      <c r="C37" s="42"/>
      <c r="D37" s="42"/>
      <c r="E37" s="47" t="s">
        <v>253</v>
      </c>
      <c r="F37" s="34">
        <f>F38+F40+F41+F42+F43+F44</f>
        <v>2181193</v>
      </c>
      <c r="G37" s="34">
        <f aca="true" t="shared" si="7" ref="G37:Q37">G38+G40+G41+G42+G43+G44</f>
        <v>2181193</v>
      </c>
      <c r="H37" s="34">
        <f t="shared" si="7"/>
        <v>0</v>
      </c>
      <c r="I37" s="34">
        <f t="shared" si="7"/>
        <v>0</v>
      </c>
      <c r="J37" s="34">
        <f t="shared" si="7"/>
        <v>0</v>
      </c>
      <c r="K37" s="34">
        <f t="shared" si="7"/>
        <v>0</v>
      </c>
      <c r="L37" s="34">
        <f t="shared" si="7"/>
        <v>0</v>
      </c>
      <c r="M37" s="34">
        <f t="shared" si="7"/>
        <v>0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2181193</v>
      </c>
    </row>
    <row r="38" spans="1:17" s="8" customFormat="1" ht="36.75" customHeight="1">
      <c r="A38" s="3"/>
      <c r="B38" s="28" t="s">
        <v>255</v>
      </c>
      <c r="C38" s="31" t="s">
        <v>67</v>
      </c>
      <c r="D38" s="31" t="s">
        <v>33</v>
      </c>
      <c r="E38" s="44" t="s">
        <v>267</v>
      </c>
      <c r="F38" s="33">
        <f>G38</f>
        <v>114017</v>
      </c>
      <c r="G38" s="33">
        <v>114017</v>
      </c>
      <c r="H38" s="33">
        <v>0</v>
      </c>
      <c r="I38" s="33">
        <v>0</v>
      </c>
      <c r="J38" s="33">
        <v>0</v>
      </c>
      <c r="K38" s="45">
        <f>L38+O38</f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4">
        <f>F38+K38</f>
        <v>114017</v>
      </c>
    </row>
    <row r="39" spans="1:17" s="8" customFormat="1" ht="12.75">
      <c r="A39" s="3"/>
      <c r="B39" s="29"/>
      <c r="C39" s="42"/>
      <c r="D39" s="42"/>
      <c r="E39" s="47"/>
      <c r="F39" s="33"/>
      <c r="G39" s="33"/>
      <c r="H39" s="33"/>
      <c r="I39" s="33"/>
      <c r="J39" s="33"/>
      <c r="K39" s="45"/>
      <c r="L39" s="33"/>
      <c r="M39" s="33"/>
      <c r="N39" s="33"/>
      <c r="O39" s="33"/>
      <c r="P39" s="33"/>
      <c r="Q39" s="34"/>
    </row>
    <row r="40" spans="1:17" s="8" customFormat="1" ht="12.75">
      <c r="A40" s="3"/>
      <c r="B40" s="28" t="s">
        <v>256</v>
      </c>
      <c r="C40" s="31" t="s">
        <v>83</v>
      </c>
      <c r="D40" s="31" t="s">
        <v>85</v>
      </c>
      <c r="E40" s="44" t="s">
        <v>86</v>
      </c>
      <c r="F40" s="33">
        <f>G40</f>
        <v>456777</v>
      </c>
      <c r="G40" s="33">
        <v>456777</v>
      </c>
      <c r="H40" s="33">
        <v>0</v>
      </c>
      <c r="I40" s="33">
        <v>0</v>
      </c>
      <c r="J40" s="33">
        <v>0</v>
      </c>
      <c r="K40" s="45">
        <f>L40+O40</f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4">
        <f>F40+K40</f>
        <v>456777</v>
      </c>
    </row>
    <row r="41" spans="1:17" s="8" customFormat="1" ht="12.75">
      <c r="A41" s="3"/>
      <c r="B41" s="28" t="s">
        <v>257</v>
      </c>
      <c r="C41" s="31" t="s">
        <v>228</v>
      </c>
      <c r="D41" s="31" t="s">
        <v>85</v>
      </c>
      <c r="E41" s="44" t="s">
        <v>230</v>
      </c>
      <c r="F41" s="33">
        <f>G41</f>
        <v>38237</v>
      </c>
      <c r="G41" s="33">
        <v>38237</v>
      </c>
      <c r="H41" s="33">
        <v>0</v>
      </c>
      <c r="I41" s="33">
        <v>0</v>
      </c>
      <c r="J41" s="33">
        <v>0</v>
      </c>
      <c r="K41" s="45">
        <f>L41+O41</f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4">
        <f>F41+K41</f>
        <v>38237</v>
      </c>
    </row>
    <row r="42" spans="1:17" s="8" customFormat="1" ht="25.5">
      <c r="A42" s="3"/>
      <c r="B42" s="31" t="s">
        <v>258</v>
      </c>
      <c r="C42" s="31" t="s">
        <v>46</v>
      </c>
      <c r="D42" s="31" t="s">
        <v>79</v>
      </c>
      <c r="E42" s="48" t="s">
        <v>80</v>
      </c>
      <c r="F42" s="33">
        <f>G42</f>
        <v>442229</v>
      </c>
      <c r="G42" s="16">
        <v>442229</v>
      </c>
      <c r="H42" s="16">
        <v>0</v>
      </c>
      <c r="I42" s="16">
        <v>0</v>
      </c>
      <c r="J42" s="16">
        <v>0</v>
      </c>
      <c r="K42" s="45">
        <f>L42+O42</f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34">
        <f>F42+K42</f>
        <v>442229</v>
      </c>
    </row>
    <row r="43" spans="1:17" s="8" customFormat="1" ht="12.75">
      <c r="A43" s="3"/>
      <c r="B43" s="31" t="s">
        <v>259</v>
      </c>
      <c r="C43" s="31" t="s">
        <v>226</v>
      </c>
      <c r="D43" s="31" t="s">
        <v>227</v>
      </c>
      <c r="E43" s="48" t="s">
        <v>225</v>
      </c>
      <c r="F43" s="33">
        <f>G43</f>
        <v>924079</v>
      </c>
      <c r="G43" s="16">
        <v>924079</v>
      </c>
      <c r="H43" s="16">
        <v>0</v>
      </c>
      <c r="I43" s="16">
        <v>0</v>
      </c>
      <c r="J43" s="16">
        <v>0</v>
      </c>
      <c r="K43" s="45">
        <f>L43+O43</f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34">
        <f>F43+K43</f>
        <v>924079</v>
      </c>
    </row>
    <row r="44" spans="1:17" s="8" customFormat="1" ht="17.25" customHeight="1">
      <c r="A44" s="3"/>
      <c r="B44" s="31" t="s">
        <v>260</v>
      </c>
      <c r="C44" s="31" t="s">
        <v>48</v>
      </c>
      <c r="D44" s="31" t="s">
        <v>87</v>
      </c>
      <c r="E44" s="49" t="s">
        <v>4</v>
      </c>
      <c r="F44" s="33">
        <f>G44</f>
        <v>205854</v>
      </c>
      <c r="G44" s="33">
        <v>205854</v>
      </c>
      <c r="H44" s="33">
        <v>0</v>
      </c>
      <c r="I44" s="33">
        <v>0</v>
      </c>
      <c r="J44" s="33">
        <v>0</v>
      </c>
      <c r="K44" s="45">
        <f>L44+O44</f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4">
        <f>F44+K44</f>
        <v>205854</v>
      </c>
    </row>
    <row r="45" s="8" customFormat="1" ht="12.75">
      <c r="A45" s="3"/>
    </row>
    <row r="46" spans="1:17" s="37" customFormat="1" ht="24.75" customHeight="1">
      <c r="A46" s="35"/>
      <c r="B46" s="38" t="s">
        <v>104</v>
      </c>
      <c r="C46" s="38"/>
      <c r="D46" s="38"/>
      <c r="E46" s="50" t="s">
        <v>107</v>
      </c>
      <c r="F46" s="34"/>
      <c r="G46" s="34"/>
      <c r="H46" s="34"/>
      <c r="I46" s="34"/>
      <c r="J46" s="34"/>
      <c r="K46" s="51"/>
      <c r="L46" s="34"/>
      <c r="M46" s="34"/>
      <c r="N46" s="34"/>
      <c r="O46" s="34"/>
      <c r="P46" s="34"/>
      <c r="Q46" s="34">
        <f>F46+K46</f>
        <v>0</v>
      </c>
    </row>
    <row r="47" spans="1:17" s="37" customFormat="1" ht="27" customHeight="1">
      <c r="A47" s="35"/>
      <c r="B47" s="38" t="s">
        <v>105</v>
      </c>
      <c r="C47" s="38"/>
      <c r="D47" s="38"/>
      <c r="E47" s="50" t="s">
        <v>107</v>
      </c>
      <c r="F47" s="34">
        <f>F48+F49</f>
        <v>1757669</v>
      </c>
      <c r="G47" s="34">
        <f aca="true" t="shared" si="8" ref="G47:Q47">G48+G49</f>
        <v>1757669</v>
      </c>
      <c r="H47" s="34">
        <f t="shared" si="8"/>
        <v>0</v>
      </c>
      <c r="I47" s="34">
        <f t="shared" si="8"/>
        <v>0</v>
      </c>
      <c r="J47" s="34">
        <f t="shared" si="8"/>
        <v>0</v>
      </c>
      <c r="K47" s="34">
        <f t="shared" si="8"/>
        <v>0</v>
      </c>
      <c r="L47" s="34">
        <f t="shared" si="8"/>
        <v>0</v>
      </c>
      <c r="M47" s="34">
        <f t="shared" si="8"/>
        <v>0</v>
      </c>
      <c r="N47" s="34">
        <f t="shared" si="8"/>
        <v>0</v>
      </c>
      <c r="O47" s="34">
        <f t="shared" si="8"/>
        <v>0</v>
      </c>
      <c r="P47" s="34">
        <f t="shared" si="8"/>
        <v>0</v>
      </c>
      <c r="Q47" s="34">
        <f t="shared" si="8"/>
        <v>1757669</v>
      </c>
    </row>
    <row r="48" spans="1:17" s="8" customFormat="1" ht="70.5" customHeight="1">
      <c r="A48" s="3"/>
      <c r="B48" s="24" t="s">
        <v>106</v>
      </c>
      <c r="C48" s="24" t="s">
        <v>32</v>
      </c>
      <c r="D48" s="24" t="s">
        <v>33</v>
      </c>
      <c r="E48" s="49" t="s">
        <v>75</v>
      </c>
      <c r="F48" s="33">
        <f>G48+J48</f>
        <v>323715</v>
      </c>
      <c r="G48" s="33">
        <v>323715</v>
      </c>
      <c r="H48" s="33">
        <v>0</v>
      </c>
      <c r="I48" s="33">
        <v>0</v>
      </c>
      <c r="J48" s="33">
        <v>0</v>
      </c>
      <c r="K48" s="45">
        <f>L48</f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f>F48+K48</f>
        <v>323715</v>
      </c>
    </row>
    <row r="49" spans="1:17" s="8" customFormat="1" ht="21.75" customHeight="1">
      <c r="A49" s="3"/>
      <c r="B49" s="31" t="s">
        <v>111</v>
      </c>
      <c r="C49" s="31" t="s">
        <v>69</v>
      </c>
      <c r="D49" s="31" t="s">
        <v>67</v>
      </c>
      <c r="E49" s="44" t="s">
        <v>73</v>
      </c>
      <c r="F49" s="33">
        <f>G49+J49</f>
        <v>1433954</v>
      </c>
      <c r="G49" s="33">
        <f>26238+256+93774+1313686</f>
        <v>1433954</v>
      </c>
      <c r="H49" s="33">
        <v>0</v>
      </c>
      <c r="I49" s="33">
        <v>0</v>
      </c>
      <c r="J49" s="33">
        <v>0</v>
      </c>
      <c r="K49" s="144">
        <f>O49</f>
        <v>0</v>
      </c>
      <c r="L49" s="145">
        <v>0</v>
      </c>
      <c r="M49" s="33">
        <v>0</v>
      </c>
      <c r="N49" s="33">
        <v>0</v>
      </c>
      <c r="O49" s="33">
        <f>P49</f>
        <v>0</v>
      </c>
      <c r="P49" s="33">
        <v>0</v>
      </c>
      <c r="Q49" s="34">
        <f>F49+K49</f>
        <v>1433954</v>
      </c>
    </row>
    <row r="50" spans="1:17" s="37" customFormat="1" ht="18.75" customHeight="1">
      <c r="A50" s="35"/>
      <c r="B50" s="38" t="s">
        <v>121</v>
      </c>
      <c r="C50" s="38" t="s">
        <v>28</v>
      </c>
      <c r="D50" s="38" t="s">
        <v>29</v>
      </c>
      <c r="E50" s="50" t="s">
        <v>20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51">
        <f>L50</f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f>F50+K50</f>
        <v>0</v>
      </c>
    </row>
    <row r="51" spans="1:17" s="8" customFormat="1" ht="18.75" customHeight="1">
      <c r="A51" s="3"/>
      <c r="B51" s="31"/>
      <c r="C51" s="31"/>
      <c r="D51" s="31"/>
      <c r="E51" s="50" t="s">
        <v>5</v>
      </c>
      <c r="F51" s="34">
        <f>F47+F25+F36+F10</f>
        <v>2772150</v>
      </c>
      <c r="G51" s="34">
        <f aca="true" t="shared" si="9" ref="G51:Q51">G47+G25+G36+G10</f>
        <v>2716056</v>
      </c>
      <c r="H51" s="34">
        <f t="shared" si="9"/>
        <v>0</v>
      </c>
      <c r="I51" s="34">
        <f t="shared" si="9"/>
        <v>0</v>
      </c>
      <c r="J51" s="34">
        <f t="shared" si="9"/>
        <v>56094</v>
      </c>
      <c r="K51" s="34">
        <f t="shared" si="9"/>
        <v>493850</v>
      </c>
      <c r="L51" s="34">
        <f t="shared" si="9"/>
        <v>0</v>
      </c>
      <c r="M51" s="34">
        <f t="shared" si="9"/>
        <v>0</v>
      </c>
      <c r="N51" s="34">
        <f t="shared" si="9"/>
        <v>0</v>
      </c>
      <c r="O51" s="34">
        <f t="shared" si="9"/>
        <v>493850</v>
      </c>
      <c r="P51" s="34">
        <f t="shared" si="9"/>
        <v>493850</v>
      </c>
      <c r="Q51" s="34">
        <f t="shared" si="9"/>
        <v>3266000</v>
      </c>
    </row>
    <row r="52" ht="15" hidden="1"/>
    <row r="53" spans="2:17" ht="15" customHeight="1" hidden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</row>
    <row r="54" spans="2:17" ht="16.5" customHeight="1" hidden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</row>
    <row r="55" ht="15" hidden="1"/>
    <row r="56" spans="5:11" ht="44.25" customHeight="1">
      <c r="E56" s="286" t="s">
        <v>284</v>
      </c>
      <c r="F56" s="287"/>
      <c r="G56" s="18"/>
      <c r="H56" s="4"/>
      <c r="I56" s="6"/>
      <c r="J56" s="4"/>
      <c r="K56" s="5" t="s">
        <v>285</v>
      </c>
    </row>
  </sheetData>
  <sheetProtection/>
  <mergeCells count="26">
    <mergeCell ref="B1:Q1"/>
    <mergeCell ref="M2:Q2"/>
    <mergeCell ref="B3:Q3"/>
    <mergeCell ref="B5:B8"/>
    <mergeCell ref="C5:C8"/>
    <mergeCell ref="D5:D8"/>
    <mergeCell ref="E5:E8"/>
    <mergeCell ref="F5:J5"/>
    <mergeCell ref="K5:P5"/>
    <mergeCell ref="Q5:Q8"/>
    <mergeCell ref="M7:M8"/>
    <mergeCell ref="N7:N8"/>
    <mergeCell ref="H6:I6"/>
    <mergeCell ref="J6:J8"/>
    <mergeCell ref="K6:K8"/>
    <mergeCell ref="L6:L8"/>
    <mergeCell ref="P7:P8"/>
    <mergeCell ref="B53:Q53"/>
    <mergeCell ref="B54:Q54"/>
    <mergeCell ref="E56:F56"/>
    <mergeCell ref="F6:F8"/>
    <mergeCell ref="G6:G8"/>
    <mergeCell ref="M6:N6"/>
    <mergeCell ref="O6:O8"/>
    <mergeCell ref="H7:H8"/>
    <mergeCell ref="I7:I8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75" zoomScaleSheetLayoutView="100" zoomScalePageLayoutView="0" workbookViewId="0" topLeftCell="E1">
      <selection activeCell="G13" sqref="G13"/>
    </sheetView>
  </sheetViews>
  <sheetFormatPr defaultColWidth="9.16015625" defaultRowHeight="12.75"/>
  <cols>
    <col min="1" max="1" width="3.83203125" style="3" hidden="1" customWidth="1"/>
    <col min="2" max="2" width="15.16015625" style="3" customWidth="1"/>
    <col min="3" max="3" width="14" style="3" customWidth="1"/>
    <col min="4" max="4" width="16" style="3" customWidth="1"/>
    <col min="5" max="5" width="44" style="3" customWidth="1"/>
    <col min="6" max="6" width="69.83203125" style="17" customWidth="1"/>
    <col min="7" max="10" width="21.16015625" style="3" customWidth="1"/>
    <col min="11" max="16384" width="9.16015625" style="8" customWidth="1"/>
  </cols>
  <sheetData>
    <row r="1" spans="1:10" s="230" customFormat="1" ht="7.5" customHeight="1">
      <c r="A1" s="229"/>
      <c r="B1" s="356"/>
      <c r="C1" s="356"/>
      <c r="D1" s="356"/>
      <c r="E1" s="356"/>
      <c r="F1" s="356"/>
      <c r="G1" s="356"/>
      <c r="H1" s="356"/>
      <c r="I1" s="356"/>
      <c r="J1" s="356"/>
    </row>
    <row r="2" spans="7:12" ht="47.25" customHeight="1">
      <c r="G2" s="283" t="s">
        <v>427</v>
      </c>
      <c r="H2" s="283"/>
      <c r="I2" s="283"/>
      <c r="J2" s="283"/>
      <c r="K2" s="7"/>
      <c r="L2" s="7"/>
    </row>
    <row r="3" spans="2:10" ht="45" customHeight="1">
      <c r="B3" s="357" t="s">
        <v>369</v>
      </c>
      <c r="C3" s="358"/>
      <c r="D3" s="358"/>
      <c r="E3" s="358"/>
      <c r="F3" s="358"/>
      <c r="G3" s="358"/>
      <c r="H3" s="358"/>
      <c r="I3" s="358"/>
      <c r="J3" s="358"/>
    </row>
    <row r="4" spans="2:10" ht="18.75">
      <c r="B4" s="231"/>
      <c r="C4" s="232"/>
      <c r="D4" s="232"/>
      <c r="E4" s="232"/>
      <c r="F4" s="233"/>
      <c r="G4" s="234"/>
      <c r="H4" s="235"/>
      <c r="I4" s="234"/>
      <c r="J4" s="157" t="s">
        <v>232</v>
      </c>
    </row>
    <row r="5" spans="1:10" ht="89.25">
      <c r="A5" s="13"/>
      <c r="B5" s="105" t="s">
        <v>233</v>
      </c>
      <c r="C5" s="106" t="s">
        <v>234</v>
      </c>
      <c r="D5" s="106" t="s">
        <v>24</v>
      </c>
      <c r="E5" s="106" t="s">
        <v>235</v>
      </c>
      <c r="F5" s="236" t="s">
        <v>370</v>
      </c>
      <c r="G5" s="236" t="s">
        <v>371</v>
      </c>
      <c r="H5" s="236" t="s">
        <v>372</v>
      </c>
      <c r="I5" s="236" t="s">
        <v>373</v>
      </c>
      <c r="J5" s="236" t="s">
        <v>374</v>
      </c>
    </row>
    <row r="6" spans="1:10" ht="32.25" customHeight="1">
      <c r="A6" s="13"/>
      <c r="B6" s="237" t="s">
        <v>76</v>
      </c>
      <c r="C6" s="106"/>
      <c r="D6" s="106"/>
      <c r="E6" s="114" t="s">
        <v>15</v>
      </c>
      <c r="F6" s="236"/>
      <c r="G6" s="236"/>
      <c r="H6" s="236"/>
      <c r="I6" s="236"/>
      <c r="J6" s="236"/>
    </row>
    <row r="7" spans="1:10" s="15" customFormat="1" ht="27.75" customHeight="1">
      <c r="A7" s="14"/>
      <c r="B7" s="237" t="s">
        <v>14</v>
      </c>
      <c r="C7" s="237"/>
      <c r="D7" s="237"/>
      <c r="E7" s="114" t="s">
        <v>15</v>
      </c>
      <c r="F7" s="238"/>
      <c r="G7" s="132">
        <f>G57</f>
        <v>3659174.36</v>
      </c>
      <c r="H7" s="132">
        <f>H9</f>
        <v>100</v>
      </c>
      <c r="I7" s="132">
        <f>I9</f>
        <v>0</v>
      </c>
      <c r="J7" s="132">
        <f aca="true" t="shared" si="0" ref="J7:J49">G7-I7</f>
        <v>3659174.36</v>
      </c>
    </row>
    <row r="8" spans="2:10" ht="28.5" customHeight="1" hidden="1">
      <c r="B8" s="237" t="s">
        <v>14</v>
      </c>
      <c r="C8" s="237"/>
      <c r="D8" s="237"/>
      <c r="E8" s="114" t="s">
        <v>15</v>
      </c>
      <c r="F8" s="239"/>
      <c r="G8" s="119"/>
      <c r="H8" s="119"/>
      <c r="I8" s="119"/>
      <c r="J8" s="119">
        <f t="shared" si="0"/>
        <v>0</v>
      </c>
    </row>
    <row r="9" spans="2:10" ht="54.75" customHeight="1" hidden="1">
      <c r="B9" s="237" t="s">
        <v>49</v>
      </c>
      <c r="C9" s="140" t="s">
        <v>50</v>
      </c>
      <c r="D9" s="140" t="s">
        <v>51</v>
      </c>
      <c r="E9" s="240" t="s">
        <v>375</v>
      </c>
      <c r="F9" s="241" t="s">
        <v>376</v>
      </c>
      <c r="G9" s="242"/>
      <c r="H9" s="16">
        <v>100</v>
      </c>
      <c r="I9" s="16">
        <v>0</v>
      </c>
      <c r="J9" s="119">
        <f t="shared" si="0"/>
        <v>0</v>
      </c>
    </row>
    <row r="10" spans="2:10" ht="25.5">
      <c r="B10" s="237" t="s">
        <v>49</v>
      </c>
      <c r="C10" s="140" t="s">
        <v>50</v>
      </c>
      <c r="D10" s="140" t="s">
        <v>51</v>
      </c>
      <c r="E10" s="240" t="s">
        <v>375</v>
      </c>
      <c r="F10" s="243" t="s">
        <v>377</v>
      </c>
      <c r="G10" s="244">
        <v>189245</v>
      </c>
      <c r="H10" s="119">
        <v>100</v>
      </c>
      <c r="I10" s="119">
        <v>0</v>
      </c>
      <c r="J10" s="119">
        <f t="shared" si="0"/>
        <v>189245</v>
      </c>
    </row>
    <row r="11" spans="2:10" ht="33.75" customHeight="1">
      <c r="B11" s="237" t="s">
        <v>49</v>
      </c>
      <c r="C11" s="140" t="s">
        <v>50</v>
      </c>
      <c r="D11" s="140" t="s">
        <v>51</v>
      </c>
      <c r="E11" s="240" t="s">
        <v>375</v>
      </c>
      <c r="F11" s="243" t="s">
        <v>378</v>
      </c>
      <c r="G11" s="244">
        <v>122182</v>
      </c>
      <c r="H11" s="119">
        <v>100</v>
      </c>
      <c r="I11" s="119">
        <v>0</v>
      </c>
      <c r="J11" s="119">
        <f t="shared" si="0"/>
        <v>122182</v>
      </c>
    </row>
    <row r="12" spans="2:10" ht="33" customHeight="1" hidden="1">
      <c r="B12" s="237" t="s">
        <v>49</v>
      </c>
      <c r="C12" s="140" t="s">
        <v>50</v>
      </c>
      <c r="D12" s="140" t="s">
        <v>51</v>
      </c>
      <c r="E12" s="240" t="s">
        <v>375</v>
      </c>
      <c r="F12" s="243" t="s">
        <v>379</v>
      </c>
      <c r="G12" s="245">
        <v>0</v>
      </c>
      <c r="H12" s="119">
        <v>100</v>
      </c>
      <c r="I12" s="119">
        <v>0</v>
      </c>
      <c r="J12" s="119">
        <f t="shared" si="0"/>
        <v>0</v>
      </c>
    </row>
    <row r="13" spans="2:10" ht="25.5">
      <c r="B13" s="237" t="s">
        <v>49</v>
      </c>
      <c r="C13" s="140" t="s">
        <v>50</v>
      </c>
      <c r="D13" s="140" t="s">
        <v>51</v>
      </c>
      <c r="E13" s="240" t="s">
        <v>375</v>
      </c>
      <c r="F13" s="243" t="s">
        <v>380</v>
      </c>
      <c r="G13" s="245">
        <v>200000</v>
      </c>
      <c r="H13" s="119">
        <v>100</v>
      </c>
      <c r="I13" s="119">
        <v>0</v>
      </c>
      <c r="J13" s="119">
        <f t="shared" si="0"/>
        <v>200000</v>
      </c>
    </row>
    <row r="14" spans="2:10" ht="25.5">
      <c r="B14" s="237" t="s">
        <v>49</v>
      </c>
      <c r="C14" s="140" t="s">
        <v>50</v>
      </c>
      <c r="D14" s="140" t="s">
        <v>51</v>
      </c>
      <c r="E14" s="240" t="s">
        <v>375</v>
      </c>
      <c r="F14" s="243" t="s">
        <v>381</v>
      </c>
      <c r="G14" s="245">
        <v>20000</v>
      </c>
      <c r="H14" s="119">
        <v>100</v>
      </c>
      <c r="I14" s="119">
        <v>0</v>
      </c>
      <c r="J14" s="119">
        <f t="shared" si="0"/>
        <v>20000</v>
      </c>
    </row>
    <row r="15" spans="2:10" ht="25.5">
      <c r="B15" s="237" t="s">
        <v>49</v>
      </c>
      <c r="C15" s="140" t="s">
        <v>50</v>
      </c>
      <c r="D15" s="140" t="s">
        <v>51</v>
      </c>
      <c r="E15" s="240" t="s">
        <v>375</v>
      </c>
      <c r="F15" s="243" t="s">
        <v>382</v>
      </c>
      <c r="G15" s="245">
        <v>290000</v>
      </c>
      <c r="H15" s="119">
        <v>100</v>
      </c>
      <c r="I15" s="119">
        <v>0</v>
      </c>
      <c r="J15" s="119">
        <f t="shared" si="0"/>
        <v>290000</v>
      </c>
    </row>
    <row r="16" spans="2:10" ht="25.5">
      <c r="B16" s="246" t="s">
        <v>49</v>
      </c>
      <c r="C16" s="140" t="s">
        <v>50</v>
      </c>
      <c r="D16" s="247" t="s">
        <v>51</v>
      </c>
      <c r="E16" s="240" t="s">
        <v>375</v>
      </c>
      <c r="F16" s="243" t="s">
        <v>383</v>
      </c>
      <c r="G16" s="245">
        <v>200000</v>
      </c>
      <c r="H16" s="119">
        <v>100</v>
      </c>
      <c r="I16" s="119">
        <v>0</v>
      </c>
      <c r="J16" s="248">
        <f t="shared" si="0"/>
        <v>200000</v>
      </c>
    </row>
    <row r="17" spans="2:10" ht="51" hidden="1">
      <c r="B17" s="246" t="s">
        <v>49</v>
      </c>
      <c r="C17" s="140" t="s">
        <v>50</v>
      </c>
      <c r="D17" s="247" t="s">
        <v>51</v>
      </c>
      <c r="E17" s="240" t="s">
        <v>375</v>
      </c>
      <c r="F17" s="243" t="s">
        <v>384</v>
      </c>
      <c r="G17" s="245">
        <v>0</v>
      </c>
      <c r="H17" s="119">
        <v>100</v>
      </c>
      <c r="I17" s="119">
        <v>0</v>
      </c>
      <c r="J17" s="248">
        <f t="shared" si="0"/>
        <v>0</v>
      </c>
    </row>
    <row r="18" spans="2:10" ht="51" hidden="1">
      <c r="B18" s="246" t="s">
        <v>49</v>
      </c>
      <c r="C18" s="140" t="s">
        <v>50</v>
      </c>
      <c r="D18" s="247" t="s">
        <v>51</v>
      </c>
      <c r="E18" s="240" t="s">
        <v>375</v>
      </c>
      <c r="F18" s="243" t="s">
        <v>416</v>
      </c>
      <c r="G18" s="245">
        <v>0</v>
      </c>
      <c r="H18" s="119">
        <v>100</v>
      </c>
      <c r="I18" s="119">
        <v>0</v>
      </c>
      <c r="J18" s="248">
        <f t="shared" si="0"/>
        <v>0</v>
      </c>
    </row>
    <row r="19" spans="2:10" ht="25.5" hidden="1">
      <c r="B19" s="246" t="s">
        <v>49</v>
      </c>
      <c r="C19" s="140" t="s">
        <v>50</v>
      </c>
      <c r="D19" s="247" t="s">
        <v>51</v>
      </c>
      <c r="E19" s="240" t="s">
        <v>375</v>
      </c>
      <c r="F19" s="243" t="s">
        <v>385</v>
      </c>
      <c r="G19" s="245">
        <v>0</v>
      </c>
      <c r="H19" s="119">
        <v>100</v>
      </c>
      <c r="I19" s="119">
        <v>0</v>
      </c>
      <c r="J19" s="248">
        <f t="shared" si="0"/>
        <v>0</v>
      </c>
    </row>
    <row r="20" spans="2:10" ht="43.5" customHeight="1">
      <c r="B20" s="246" t="s">
        <v>49</v>
      </c>
      <c r="C20" s="140" t="s">
        <v>50</v>
      </c>
      <c r="D20" s="247" t="s">
        <v>51</v>
      </c>
      <c r="E20" s="240" t="s">
        <v>375</v>
      </c>
      <c r="F20" s="243" t="s">
        <v>386</v>
      </c>
      <c r="G20" s="245">
        <v>1340800</v>
      </c>
      <c r="H20" s="119">
        <v>100</v>
      </c>
      <c r="I20" s="119">
        <v>0</v>
      </c>
      <c r="J20" s="248">
        <f t="shared" si="0"/>
        <v>1340800</v>
      </c>
    </row>
    <row r="21" spans="2:10" ht="31.5" customHeight="1">
      <c r="B21" s="246" t="s">
        <v>49</v>
      </c>
      <c r="C21" s="140" t="s">
        <v>50</v>
      </c>
      <c r="D21" s="247" t="s">
        <v>51</v>
      </c>
      <c r="E21" s="240" t="s">
        <v>375</v>
      </c>
      <c r="F21" s="243" t="s">
        <v>414</v>
      </c>
      <c r="G21" s="245">
        <v>35000</v>
      </c>
      <c r="H21" s="119">
        <v>100</v>
      </c>
      <c r="I21" s="119">
        <v>0</v>
      </c>
      <c r="J21" s="248">
        <f t="shared" si="0"/>
        <v>35000</v>
      </c>
    </row>
    <row r="22" spans="2:10" ht="25.5">
      <c r="B22" s="246" t="s">
        <v>49</v>
      </c>
      <c r="C22" s="140" t="s">
        <v>50</v>
      </c>
      <c r="D22" s="247" t="s">
        <v>51</v>
      </c>
      <c r="E22" s="240" t="s">
        <v>375</v>
      </c>
      <c r="F22" s="243" t="s">
        <v>387</v>
      </c>
      <c r="G22" s="245">
        <v>13649</v>
      </c>
      <c r="H22" s="119">
        <v>100</v>
      </c>
      <c r="I22" s="119">
        <v>0</v>
      </c>
      <c r="J22" s="248">
        <f t="shared" si="0"/>
        <v>13649</v>
      </c>
    </row>
    <row r="23" spans="2:10" ht="31.5" customHeight="1">
      <c r="B23" s="246" t="s">
        <v>49</v>
      </c>
      <c r="C23" s="140" t="s">
        <v>50</v>
      </c>
      <c r="D23" s="247" t="s">
        <v>51</v>
      </c>
      <c r="E23" s="240" t="s">
        <v>375</v>
      </c>
      <c r="F23" s="243" t="s">
        <v>388</v>
      </c>
      <c r="G23" s="245">
        <v>805448.36</v>
      </c>
      <c r="H23" s="119">
        <v>100</v>
      </c>
      <c r="I23" s="119">
        <v>0</v>
      </c>
      <c r="J23" s="248">
        <f t="shared" si="0"/>
        <v>805448.36</v>
      </c>
    </row>
    <row r="24" spans="2:10" ht="25.5">
      <c r="B24" s="237" t="s">
        <v>49</v>
      </c>
      <c r="C24" s="140" t="s">
        <v>50</v>
      </c>
      <c r="D24" s="140" t="s">
        <v>51</v>
      </c>
      <c r="E24" s="240" t="s">
        <v>375</v>
      </c>
      <c r="F24" s="243" t="s">
        <v>428</v>
      </c>
      <c r="G24" s="245">
        <v>10500</v>
      </c>
      <c r="H24" s="119">
        <v>100</v>
      </c>
      <c r="I24" s="119">
        <v>0</v>
      </c>
      <c r="J24" s="119">
        <f t="shared" si="0"/>
        <v>10500</v>
      </c>
    </row>
    <row r="25" spans="2:10" ht="25.5">
      <c r="B25" s="237" t="s">
        <v>49</v>
      </c>
      <c r="C25" s="140" t="s">
        <v>50</v>
      </c>
      <c r="D25" s="140" t="s">
        <v>51</v>
      </c>
      <c r="E25" s="240" t="s">
        <v>375</v>
      </c>
      <c r="F25" s="243" t="s">
        <v>429</v>
      </c>
      <c r="G25" s="245">
        <v>7350</v>
      </c>
      <c r="H25" s="119">
        <v>100</v>
      </c>
      <c r="I25" s="119">
        <v>0</v>
      </c>
      <c r="J25" s="119">
        <f t="shared" si="0"/>
        <v>7350</v>
      </c>
    </row>
    <row r="26" spans="2:10" ht="25.5">
      <c r="B26" s="237" t="s">
        <v>49</v>
      </c>
      <c r="C26" s="140" t="s">
        <v>50</v>
      </c>
      <c r="D26" s="140" t="s">
        <v>51</v>
      </c>
      <c r="E26" s="240" t="s">
        <v>375</v>
      </c>
      <c r="F26" s="243" t="s">
        <v>415</v>
      </c>
      <c r="G26" s="245">
        <v>400000</v>
      </c>
      <c r="H26" s="119">
        <v>100</v>
      </c>
      <c r="I26" s="119">
        <v>0</v>
      </c>
      <c r="J26" s="119">
        <f t="shared" si="0"/>
        <v>400000</v>
      </c>
    </row>
    <row r="27" spans="2:10" ht="25.5">
      <c r="B27" s="237" t="s">
        <v>49</v>
      </c>
      <c r="C27" s="140" t="s">
        <v>50</v>
      </c>
      <c r="D27" s="140" t="s">
        <v>51</v>
      </c>
      <c r="E27" s="240" t="s">
        <v>375</v>
      </c>
      <c r="F27" s="243" t="s">
        <v>383</v>
      </c>
      <c r="G27" s="245">
        <v>25000</v>
      </c>
      <c r="H27" s="119">
        <v>100</v>
      </c>
      <c r="I27" s="119">
        <v>0</v>
      </c>
      <c r="J27" s="119">
        <f t="shared" si="0"/>
        <v>25000</v>
      </c>
    </row>
    <row r="28" spans="2:10" ht="25.5" hidden="1">
      <c r="B28" s="237" t="s">
        <v>49</v>
      </c>
      <c r="C28" s="140" t="s">
        <v>50</v>
      </c>
      <c r="D28" s="140" t="s">
        <v>51</v>
      </c>
      <c r="E28" s="240" t="s">
        <v>375</v>
      </c>
      <c r="F28" s="243" t="s">
        <v>418</v>
      </c>
      <c r="G28" s="245">
        <v>0</v>
      </c>
      <c r="H28" s="119">
        <v>0</v>
      </c>
      <c r="I28" s="119">
        <v>0</v>
      </c>
      <c r="J28" s="119">
        <f t="shared" si="0"/>
        <v>0</v>
      </c>
    </row>
    <row r="29" spans="2:10" ht="38.25" hidden="1">
      <c r="B29" s="237" t="s">
        <v>49</v>
      </c>
      <c r="C29" s="140" t="s">
        <v>50</v>
      </c>
      <c r="D29" s="140" t="s">
        <v>51</v>
      </c>
      <c r="E29" s="240" t="s">
        <v>375</v>
      </c>
      <c r="F29" s="249" t="s">
        <v>419</v>
      </c>
      <c r="G29" s="244">
        <v>0</v>
      </c>
      <c r="H29" s="119">
        <v>0</v>
      </c>
      <c r="I29" s="119">
        <v>0</v>
      </c>
      <c r="J29" s="119">
        <f t="shared" si="0"/>
        <v>0</v>
      </c>
    </row>
    <row r="30" spans="2:10" ht="25.5" hidden="1">
      <c r="B30" s="237" t="s">
        <v>49</v>
      </c>
      <c r="C30" s="140" t="s">
        <v>50</v>
      </c>
      <c r="D30" s="140" t="s">
        <v>51</v>
      </c>
      <c r="E30" s="240" t="s">
        <v>375</v>
      </c>
      <c r="F30" s="249"/>
      <c r="G30" s="244"/>
      <c r="H30" s="119">
        <v>0</v>
      </c>
      <c r="I30" s="119">
        <v>0</v>
      </c>
      <c r="J30" s="119">
        <f t="shared" si="0"/>
        <v>0</v>
      </c>
    </row>
    <row r="31" spans="2:10" ht="25.5" hidden="1">
      <c r="B31" s="237" t="s">
        <v>49</v>
      </c>
      <c r="C31" s="140" t="s">
        <v>50</v>
      </c>
      <c r="D31" s="140" t="s">
        <v>51</v>
      </c>
      <c r="E31" s="240" t="s">
        <v>375</v>
      </c>
      <c r="F31" s="249"/>
      <c r="G31" s="244"/>
      <c r="H31" s="119">
        <v>0</v>
      </c>
      <c r="I31" s="119">
        <v>0</v>
      </c>
      <c r="J31" s="119">
        <f t="shared" si="0"/>
        <v>0</v>
      </c>
    </row>
    <row r="32" spans="2:10" ht="25.5" hidden="1">
      <c r="B32" s="237" t="s">
        <v>49</v>
      </c>
      <c r="C32" s="140" t="s">
        <v>50</v>
      </c>
      <c r="D32" s="140" t="s">
        <v>51</v>
      </c>
      <c r="E32" s="240" t="s">
        <v>375</v>
      </c>
      <c r="F32" s="249"/>
      <c r="G32" s="244"/>
      <c r="H32" s="119">
        <v>0</v>
      </c>
      <c r="I32" s="119">
        <v>0</v>
      </c>
      <c r="J32" s="119">
        <f t="shared" si="0"/>
        <v>0</v>
      </c>
    </row>
    <row r="33" spans="2:10" ht="25.5" hidden="1">
      <c r="B33" s="237" t="s">
        <v>49</v>
      </c>
      <c r="C33" s="140" t="s">
        <v>50</v>
      </c>
      <c r="D33" s="140" t="s">
        <v>51</v>
      </c>
      <c r="E33" s="240" t="s">
        <v>375</v>
      </c>
      <c r="F33" s="249"/>
      <c r="G33" s="119"/>
      <c r="H33" s="119">
        <v>0</v>
      </c>
      <c r="I33" s="119">
        <v>0</v>
      </c>
      <c r="J33" s="119">
        <f t="shared" si="0"/>
        <v>0</v>
      </c>
    </row>
    <row r="34" spans="2:10" ht="25.5" hidden="1">
      <c r="B34" s="237" t="s">
        <v>49</v>
      </c>
      <c r="C34" s="140" t="s">
        <v>50</v>
      </c>
      <c r="D34" s="140" t="s">
        <v>51</v>
      </c>
      <c r="E34" s="240" t="s">
        <v>375</v>
      </c>
      <c r="F34" s="249"/>
      <c r="G34" s="119"/>
      <c r="H34" s="119">
        <v>0</v>
      </c>
      <c r="I34" s="119">
        <v>0</v>
      </c>
      <c r="J34" s="119">
        <f t="shared" si="0"/>
        <v>0</v>
      </c>
    </row>
    <row r="35" spans="2:10" ht="25.5" hidden="1">
      <c r="B35" s="237" t="s">
        <v>49</v>
      </c>
      <c r="C35" s="140" t="s">
        <v>50</v>
      </c>
      <c r="D35" s="140" t="s">
        <v>51</v>
      </c>
      <c r="E35" s="240" t="s">
        <v>375</v>
      </c>
      <c r="F35" s="249"/>
      <c r="G35" s="119"/>
      <c r="H35" s="119">
        <v>0</v>
      </c>
      <c r="I35" s="119">
        <v>0</v>
      </c>
      <c r="J35" s="119">
        <f t="shared" si="0"/>
        <v>0</v>
      </c>
    </row>
    <row r="36" spans="2:10" ht="25.5" hidden="1">
      <c r="B36" s="237" t="s">
        <v>49</v>
      </c>
      <c r="C36" s="140" t="s">
        <v>50</v>
      </c>
      <c r="D36" s="140" t="s">
        <v>51</v>
      </c>
      <c r="E36" s="240" t="s">
        <v>375</v>
      </c>
      <c r="F36" s="249"/>
      <c r="G36" s="119"/>
      <c r="H36" s="119">
        <v>0</v>
      </c>
      <c r="I36" s="119">
        <v>0</v>
      </c>
      <c r="J36" s="119">
        <f t="shared" si="0"/>
        <v>0</v>
      </c>
    </row>
    <row r="37" spans="2:10" ht="25.5" hidden="1">
      <c r="B37" s="237" t="s">
        <v>49</v>
      </c>
      <c r="C37" s="140" t="s">
        <v>50</v>
      </c>
      <c r="D37" s="140" t="s">
        <v>51</v>
      </c>
      <c r="E37" s="240" t="s">
        <v>375</v>
      </c>
      <c r="F37" s="249"/>
      <c r="G37" s="119"/>
      <c r="H37" s="119">
        <v>0</v>
      </c>
      <c r="I37" s="119">
        <v>0</v>
      </c>
      <c r="J37" s="119">
        <f t="shared" si="0"/>
        <v>0</v>
      </c>
    </row>
    <row r="38" spans="2:10" ht="25.5" hidden="1">
      <c r="B38" s="237" t="s">
        <v>49</v>
      </c>
      <c r="C38" s="140" t="s">
        <v>50</v>
      </c>
      <c r="D38" s="140" t="s">
        <v>51</v>
      </c>
      <c r="E38" s="240" t="s">
        <v>375</v>
      </c>
      <c r="F38" s="249"/>
      <c r="G38" s="119"/>
      <c r="H38" s="119">
        <v>0</v>
      </c>
      <c r="I38" s="119">
        <v>0</v>
      </c>
      <c r="J38" s="119">
        <f t="shared" si="0"/>
        <v>0</v>
      </c>
    </row>
    <row r="39" spans="2:10" ht="25.5" hidden="1">
      <c r="B39" s="237" t="s">
        <v>49</v>
      </c>
      <c r="C39" s="140" t="s">
        <v>50</v>
      </c>
      <c r="D39" s="140" t="s">
        <v>51</v>
      </c>
      <c r="E39" s="240" t="s">
        <v>375</v>
      </c>
      <c r="F39" s="249"/>
      <c r="G39" s="119"/>
      <c r="H39" s="119">
        <v>0</v>
      </c>
      <c r="I39" s="119">
        <v>0</v>
      </c>
      <c r="J39" s="119">
        <f t="shared" si="0"/>
        <v>0</v>
      </c>
    </row>
    <row r="40" spans="2:10" ht="25.5" hidden="1">
      <c r="B40" s="237" t="s">
        <v>49</v>
      </c>
      <c r="C40" s="140" t="s">
        <v>50</v>
      </c>
      <c r="D40" s="140" t="s">
        <v>51</v>
      </c>
      <c r="E40" s="240" t="s">
        <v>375</v>
      </c>
      <c r="F40" s="249"/>
      <c r="G40" s="119"/>
      <c r="H40" s="119">
        <v>0</v>
      </c>
      <c r="I40" s="119">
        <v>0</v>
      </c>
      <c r="J40" s="119">
        <f t="shared" si="0"/>
        <v>0</v>
      </c>
    </row>
    <row r="41" spans="2:10" ht="25.5" hidden="1">
      <c r="B41" s="237" t="s">
        <v>49</v>
      </c>
      <c r="C41" s="140" t="s">
        <v>50</v>
      </c>
      <c r="D41" s="140" t="s">
        <v>51</v>
      </c>
      <c r="E41" s="240" t="s">
        <v>375</v>
      </c>
      <c r="F41" s="249"/>
      <c r="G41" s="119"/>
      <c r="H41" s="119">
        <v>0</v>
      </c>
      <c r="I41" s="119">
        <v>0</v>
      </c>
      <c r="J41" s="119">
        <f t="shared" si="0"/>
        <v>0</v>
      </c>
    </row>
    <row r="42" spans="2:10" ht="25.5" hidden="1">
      <c r="B42" s="237" t="s">
        <v>49</v>
      </c>
      <c r="C42" s="140" t="s">
        <v>50</v>
      </c>
      <c r="D42" s="140" t="s">
        <v>51</v>
      </c>
      <c r="E42" s="240" t="s">
        <v>375</v>
      </c>
      <c r="F42" s="249"/>
      <c r="G42" s="119"/>
      <c r="H42" s="119">
        <v>0</v>
      </c>
      <c r="I42" s="119">
        <v>0</v>
      </c>
      <c r="J42" s="119">
        <f t="shared" si="0"/>
        <v>0</v>
      </c>
    </row>
    <row r="43" spans="2:10" ht="25.5" hidden="1">
      <c r="B43" s="237" t="s">
        <v>49</v>
      </c>
      <c r="C43" s="140" t="s">
        <v>50</v>
      </c>
      <c r="D43" s="140" t="s">
        <v>51</v>
      </c>
      <c r="E43" s="240" t="s">
        <v>375</v>
      </c>
      <c r="F43" s="249"/>
      <c r="G43" s="119"/>
      <c r="H43" s="119">
        <v>0</v>
      </c>
      <c r="I43" s="119">
        <v>0</v>
      </c>
      <c r="J43" s="119">
        <f t="shared" si="0"/>
        <v>0</v>
      </c>
    </row>
    <row r="44" spans="2:10" ht="25.5" hidden="1">
      <c r="B44" s="237" t="s">
        <v>49</v>
      </c>
      <c r="C44" s="140" t="s">
        <v>50</v>
      </c>
      <c r="D44" s="140" t="s">
        <v>51</v>
      </c>
      <c r="E44" s="240" t="s">
        <v>375</v>
      </c>
      <c r="F44" s="249"/>
      <c r="G44" s="119"/>
      <c r="H44" s="119">
        <v>0</v>
      </c>
      <c r="I44" s="119">
        <v>0</v>
      </c>
      <c r="J44" s="119">
        <f t="shared" si="0"/>
        <v>0</v>
      </c>
    </row>
    <row r="45" spans="2:10" ht="25.5" hidden="1">
      <c r="B45" s="237" t="s">
        <v>49</v>
      </c>
      <c r="C45" s="140" t="s">
        <v>50</v>
      </c>
      <c r="D45" s="140" t="s">
        <v>51</v>
      </c>
      <c r="E45" s="240" t="s">
        <v>375</v>
      </c>
      <c r="F45" s="249"/>
      <c r="G45" s="119"/>
      <c r="H45" s="119">
        <v>0</v>
      </c>
      <c r="I45" s="119">
        <v>0</v>
      </c>
      <c r="J45" s="119">
        <f t="shared" si="0"/>
        <v>0</v>
      </c>
    </row>
    <row r="46" spans="2:10" ht="25.5" hidden="1">
      <c r="B46" s="237" t="s">
        <v>49</v>
      </c>
      <c r="C46" s="140" t="s">
        <v>50</v>
      </c>
      <c r="D46" s="140" t="s">
        <v>51</v>
      </c>
      <c r="E46" s="240" t="s">
        <v>375</v>
      </c>
      <c r="F46" s="249"/>
      <c r="G46" s="119"/>
      <c r="H46" s="119">
        <v>0</v>
      </c>
      <c r="I46" s="119">
        <v>0</v>
      </c>
      <c r="J46" s="119">
        <f t="shared" si="0"/>
        <v>0</v>
      </c>
    </row>
    <row r="47" spans="2:10" ht="25.5" hidden="1">
      <c r="B47" s="237" t="s">
        <v>49</v>
      </c>
      <c r="C47" s="140" t="s">
        <v>50</v>
      </c>
      <c r="D47" s="140" t="s">
        <v>51</v>
      </c>
      <c r="E47" s="240" t="s">
        <v>375</v>
      </c>
      <c r="F47" s="249"/>
      <c r="G47" s="119"/>
      <c r="H47" s="119">
        <v>0</v>
      </c>
      <c r="I47" s="119">
        <v>0</v>
      </c>
      <c r="J47" s="119">
        <f t="shared" si="0"/>
        <v>0</v>
      </c>
    </row>
    <row r="48" spans="2:10" ht="25.5" hidden="1">
      <c r="B48" s="237" t="s">
        <v>49</v>
      </c>
      <c r="C48" s="140" t="s">
        <v>50</v>
      </c>
      <c r="D48" s="140" t="s">
        <v>51</v>
      </c>
      <c r="E48" s="240" t="s">
        <v>375</v>
      </c>
      <c r="F48" s="249"/>
      <c r="G48" s="119"/>
      <c r="H48" s="119">
        <v>0</v>
      </c>
      <c r="I48" s="119">
        <v>0</v>
      </c>
      <c r="J48" s="119">
        <f t="shared" si="0"/>
        <v>0</v>
      </c>
    </row>
    <row r="49" spans="2:10" ht="25.5" hidden="1">
      <c r="B49" s="237" t="s">
        <v>49</v>
      </c>
      <c r="C49" s="140" t="s">
        <v>50</v>
      </c>
      <c r="D49" s="140" t="s">
        <v>51</v>
      </c>
      <c r="E49" s="240" t="s">
        <v>375</v>
      </c>
      <c r="F49" s="249"/>
      <c r="G49" s="119"/>
      <c r="H49" s="119">
        <v>0</v>
      </c>
      <c r="I49" s="119">
        <v>0</v>
      </c>
      <c r="J49" s="119">
        <f t="shared" si="0"/>
        <v>0</v>
      </c>
    </row>
    <row r="50" spans="2:10" ht="12.75" hidden="1">
      <c r="B50" s="237" t="s">
        <v>49</v>
      </c>
      <c r="C50" s="236">
        <v>150101</v>
      </c>
      <c r="D50" s="140" t="s">
        <v>51</v>
      </c>
      <c r="E50" s="250" t="s">
        <v>389</v>
      </c>
      <c r="F50" s="249"/>
      <c r="G50" s="119"/>
      <c r="H50" s="119"/>
      <c r="I50" s="119"/>
      <c r="J50" s="119"/>
    </row>
    <row r="51" spans="2:10" ht="12.75" hidden="1">
      <c r="B51" s="237" t="s">
        <v>49</v>
      </c>
      <c r="C51" s="236">
        <v>150101</v>
      </c>
      <c r="D51" s="140" t="s">
        <v>51</v>
      </c>
      <c r="E51" s="250" t="s">
        <v>389</v>
      </c>
      <c r="F51" s="249"/>
      <c r="G51" s="119"/>
      <c r="H51" s="119"/>
      <c r="I51" s="119"/>
      <c r="J51" s="119">
        <f>G51-I51</f>
        <v>0</v>
      </c>
    </row>
    <row r="52" spans="2:10" ht="12.75" hidden="1">
      <c r="B52" s="237" t="s">
        <v>49</v>
      </c>
      <c r="C52" s="236">
        <v>150101</v>
      </c>
      <c r="D52" s="140" t="s">
        <v>51</v>
      </c>
      <c r="E52" s="250" t="s">
        <v>389</v>
      </c>
      <c r="F52" s="249"/>
      <c r="G52" s="119"/>
      <c r="H52" s="119"/>
      <c r="I52" s="119"/>
      <c r="J52" s="119"/>
    </row>
    <row r="53" spans="2:10" ht="12.75" hidden="1">
      <c r="B53" s="237" t="s">
        <v>49</v>
      </c>
      <c r="C53" s="236">
        <v>150101</v>
      </c>
      <c r="D53" s="140" t="s">
        <v>51</v>
      </c>
      <c r="E53" s="250" t="s">
        <v>389</v>
      </c>
      <c r="F53" s="249"/>
      <c r="G53" s="119"/>
      <c r="H53" s="119"/>
      <c r="I53" s="119"/>
      <c r="J53" s="119"/>
    </row>
    <row r="54" spans="2:10" ht="12.75" hidden="1">
      <c r="B54" s="237" t="s">
        <v>49</v>
      </c>
      <c r="C54" s="236">
        <v>150101</v>
      </c>
      <c r="D54" s="140" t="s">
        <v>51</v>
      </c>
      <c r="E54" s="250" t="s">
        <v>389</v>
      </c>
      <c r="F54" s="249"/>
      <c r="G54" s="119"/>
      <c r="H54" s="119"/>
      <c r="I54" s="119"/>
      <c r="J54" s="119"/>
    </row>
    <row r="55" spans="2:10" ht="12.75" hidden="1">
      <c r="B55" s="237" t="s">
        <v>49</v>
      </c>
      <c r="C55" s="236">
        <v>150101</v>
      </c>
      <c r="D55" s="140" t="s">
        <v>51</v>
      </c>
      <c r="E55" s="250" t="s">
        <v>389</v>
      </c>
      <c r="F55" s="249"/>
      <c r="G55" s="119"/>
      <c r="H55" s="119"/>
      <c r="I55" s="119"/>
      <c r="J55" s="119">
        <f>G55-I55</f>
        <v>0</v>
      </c>
    </row>
    <row r="56" spans="2:10" ht="12.75">
      <c r="B56" s="237"/>
      <c r="C56" s="236"/>
      <c r="D56" s="140"/>
      <c r="E56" s="250"/>
      <c r="F56" s="249"/>
      <c r="G56" s="119"/>
      <c r="H56" s="119"/>
      <c r="I56" s="119"/>
      <c r="J56" s="119"/>
    </row>
    <row r="57" spans="2:10" ht="24.75" customHeight="1">
      <c r="B57" s="251"/>
      <c r="C57" s="251"/>
      <c r="D57" s="140"/>
      <c r="E57" s="252" t="s">
        <v>5</v>
      </c>
      <c r="F57" s="253"/>
      <c r="G57" s="254">
        <f>SUM(G10:G56)</f>
        <v>3659174.36</v>
      </c>
      <c r="H57" s="254">
        <v>100</v>
      </c>
      <c r="I57" s="254">
        <f>SUM(I10:I56)</f>
        <v>0</v>
      </c>
      <c r="J57" s="254">
        <f>SUM(J10:J56)</f>
        <v>3659174.36</v>
      </c>
    </row>
    <row r="58" ht="7.5" customHeight="1"/>
    <row r="59" spans="2:10" ht="2.25" customHeight="1">
      <c r="B59" s="353"/>
      <c r="C59" s="353"/>
      <c r="D59" s="353"/>
      <c r="E59" s="353"/>
      <c r="F59" s="353"/>
      <c r="G59" s="353"/>
      <c r="H59" s="353"/>
      <c r="I59" s="353"/>
      <c r="J59" s="353"/>
    </row>
    <row r="60" spans="1:17" s="230" customFormat="1" ht="20.25" customHeight="1">
      <c r="A60" s="229"/>
      <c r="B60" s="354" t="s">
        <v>390</v>
      </c>
      <c r="C60" s="354"/>
      <c r="D60" s="354"/>
      <c r="E60" s="354"/>
      <c r="F60" s="354"/>
      <c r="G60" s="354"/>
      <c r="H60" s="354"/>
      <c r="I60" s="354"/>
      <c r="J60" s="354"/>
      <c r="K60" s="255"/>
      <c r="L60" s="255"/>
      <c r="M60" s="255"/>
      <c r="N60" s="255"/>
      <c r="O60" s="255"/>
      <c r="P60" s="255"/>
      <c r="Q60" s="255"/>
    </row>
    <row r="61" spans="2:17" ht="19.5" customHeight="1">
      <c r="B61" s="355"/>
      <c r="C61" s="355"/>
      <c r="D61" s="355"/>
      <c r="E61" s="355"/>
      <c r="F61" s="355"/>
      <c r="G61" s="355"/>
      <c r="H61" s="355"/>
      <c r="I61" s="355"/>
      <c r="J61" s="355"/>
      <c r="K61" s="30"/>
      <c r="L61" s="30"/>
      <c r="M61" s="30"/>
      <c r="N61" s="30"/>
      <c r="O61" s="30"/>
      <c r="P61" s="30"/>
      <c r="Q61" s="30"/>
    </row>
    <row r="62" spans="4:8" ht="41.25" customHeight="1">
      <c r="D62" s="183" t="s">
        <v>3</v>
      </c>
      <c r="E62" s="35"/>
      <c r="H62" s="3" t="s">
        <v>311</v>
      </c>
    </row>
    <row r="63" spans="2:8" ht="19.5" customHeight="1">
      <c r="B63" s="256"/>
      <c r="D63" s="8"/>
      <c r="E63" s="8"/>
      <c r="F63" s="36"/>
      <c r="G63" s="8"/>
      <c r="H63" s="8"/>
    </row>
  </sheetData>
  <sheetProtection/>
  <mergeCells count="6">
    <mergeCell ref="B59:J59"/>
    <mergeCell ref="B60:J60"/>
    <mergeCell ref="B61:J61"/>
    <mergeCell ref="B1:J1"/>
    <mergeCell ref="G2:J2"/>
    <mergeCell ref="B3:J3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Пользователь Windows</cp:lastModifiedBy>
  <cp:lastPrinted>2017-07-13T12:29:27Z</cp:lastPrinted>
  <dcterms:created xsi:type="dcterms:W3CDTF">2016-12-14T07:29:31Z</dcterms:created>
  <dcterms:modified xsi:type="dcterms:W3CDTF">2017-07-13T23:58:23Z</dcterms:modified>
  <cp:category/>
  <cp:version/>
  <cp:contentType/>
  <cp:contentStatus/>
</cp:coreProperties>
</file>