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tabRatio="687" activeTab="0"/>
  </bookViews>
  <sheets>
    <sheet name="дод.3 (2)" sheetId="1" r:id="rId1"/>
    <sheet name="Доходи (2)" sheetId="2" r:id="rId2"/>
    <sheet name="Доходи" sheetId="3" r:id="rId3"/>
    <sheet name="дод2" sheetId="4" r:id="rId4"/>
    <sheet name="дод.3" sheetId="5" r:id="rId5"/>
    <sheet name="дод.4" sheetId="6" r:id="rId6"/>
    <sheet name="4.1" sheetId="7" r:id="rId7"/>
    <sheet name="дод.5" sheetId="8" r:id="rId8"/>
    <sheet name="дод. 6" sheetId="9" r:id="rId9"/>
  </sheets>
  <definedNames>
    <definedName name="_xlfn.AGGREGATE" hidden="1">#NAME?</definedName>
    <definedName name="wrn.Інструкція." localSheetId="6" hidden="1">{#N/A,#N/A,FALSE,"Лист4"}</definedName>
    <definedName name="wrn.Інструкція." localSheetId="8" hidden="1">{#N/A,#N/A,FALSE,"Лист4"}</definedName>
    <definedName name="wrn.Інструкція." localSheetId="0" hidden="1">{#N/A,#N/A,FALSE,"Лист4"}</definedName>
    <definedName name="wrn.Інструкція." localSheetId="5" hidden="1">{#N/A,#N/A,FALSE,"Лист4"}</definedName>
    <definedName name="wrn.Інструкція." localSheetId="7" hidden="1">{#N/A,#N/A,FALSE,"Лист4"}</definedName>
    <definedName name="wrn.Інструкція." localSheetId="3" hidden="1">{#N/A,#N/A,FALSE,"Лист4"}</definedName>
    <definedName name="wrn.Інструкція." localSheetId="2" hidden="1">{#N/A,#N/A,FALSE,"Лист4"}</definedName>
    <definedName name="wrn.Інструкція." localSheetId="1" hidden="1">{#N/A,#N/A,FALSE,"Лист4"}</definedName>
    <definedName name="wrn.Інструкція." hidden="1">{#N/A,#N/A,FALSE,"Лист4"}</definedName>
    <definedName name="_xlnm.Print_Titles" localSheetId="8">'дод. 6'!$B:$B,'дод. 6'!$11:$23</definedName>
    <definedName name="_xlnm.Print_Titles" localSheetId="4">'дод.3'!$5:$7</definedName>
    <definedName name="_xlnm.Print_Titles" localSheetId="0">'дод.3 (2)'!$5:$7</definedName>
    <definedName name="_xlnm.Print_Titles" localSheetId="7">'дод.5'!$6:$6</definedName>
    <definedName name="_xlnm.Print_Area" localSheetId="6">'4.1'!$A$1:$E$34</definedName>
    <definedName name="_xlnm.Print_Area" localSheetId="8">'дод. 6'!$A$1:$J$60</definedName>
    <definedName name="_xlnm.Print_Area" localSheetId="5">'дод.4'!$A$1:$L$24</definedName>
    <definedName name="_xlnm.Print_Area" localSheetId="7">'дод.5'!$A$1:$J$38</definedName>
    <definedName name="_xlnm.Print_Area" localSheetId="2">'Доходи'!$A$1:$G$124</definedName>
    <definedName name="_xlnm.Print_Area" localSheetId="1">'Доходи (2)'!$A$1:$G$124</definedName>
    <definedName name="р" localSheetId="6" hidden="1">{#N/A,#N/A,FALSE,"Лист4"}</definedName>
    <definedName name="р" localSheetId="8" hidden="1">{#N/A,#N/A,FALSE,"Лист4"}</definedName>
    <definedName name="р" localSheetId="0" hidden="1">{#N/A,#N/A,FALSE,"Лист4"}</definedName>
    <definedName name="р" localSheetId="5" hidden="1">{#N/A,#N/A,FALSE,"Лист4"}</definedName>
    <definedName name="р" localSheetId="7" hidden="1">{#N/A,#N/A,FALSE,"Лист4"}</definedName>
    <definedName name="р" localSheetId="3" hidden="1">{#N/A,#N/A,FALSE,"Лист4"}</definedName>
    <definedName name="р" localSheetId="2" hidden="1">{#N/A,#N/A,FALSE,"Лист4"}</definedName>
    <definedName name="р" localSheetId="1" hidden="1">{#N/A,#N/A,FALSE,"Лист4"}</definedName>
    <definedName name="р" hidden="1">{#N/A,#N/A,FALSE,"Лист4"}</definedName>
  </definedNames>
  <calcPr fullCalcOnLoad="1"/>
</workbook>
</file>

<file path=xl/sharedStrings.xml><?xml version="1.0" encoding="utf-8"?>
<sst xmlns="http://schemas.openxmlformats.org/spreadsheetml/2006/main" count="1097" uniqueCount="386">
  <si>
    <t>Всього</t>
  </si>
  <si>
    <t>Загальний фонд</t>
  </si>
  <si>
    <t>Спеціальний фонд</t>
  </si>
  <si>
    <t>Міський голова</t>
  </si>
  <si>
    <t>Інші культурно-освітні заклади та заходи</t>
  </si>
  <si>
    <t xml:space="preserve">Всього </t>
  </si>
  <si>
    <t>Разом</t>
  </si>
  <si>
    <t>Інші видатки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</si>
  <si>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</si>
  <si>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</si>
  <si>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</si>
  <si>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</si>
  <si>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</si>
  <si>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</si>
  <si>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0110000</t>
  </si>
  <si>
    <t>Виконавчий комітет Коростишівської міської ради</t>
  </si>
  <si>
    <t>Культура і мистецтво</t>
  </si>
  <si>
    <t>Інші природоохоронні заходи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</si>
  <si>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</si>
  <si>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Компенсаційні виплати на пільговий проїзд автомобільним транспортом окремим категоріям громадян</t>
  </si>
  <si>
    <t>Резервний фонд</t>
  </si>
  <si>
    <t>Освітня субвенція з державного бюджету місцевим бюджетам </t>
  </si>
  <si>
    <t>Медична субвенція з державного бюджету місцевим бюджетам</t>
  </si>
  <si>
    <t xml:space="preserve">Код ТПКВКМБ 
</t>
  </si>
  <si>
    <t>Код ФКВКБ</t>
  </si>
  <si>
    <t>0116060</t>
  </si>
  <si>
    <t>6060</t>
  </si>
  <si>
    <t>0620</t>
  </si>
  <si>
    <t>8010</t>
  </si>
  <si>
    <t>0133</t>
  </si>
  <si>
    <t>РОЗПОДІЛ
видатків міського бюджету  на 2017рік</t>
  </si>
  <si>
    <r>
      <t>Код програмної класифікації видатків та кредитування місцевого бюджету</t>
    </r>
    <r>
      <rPr>
        <vertAlign val="superscript"/>
        <sz val="10"/>
        <rFont val="Times New Roman"/>
        <family val="1"/>
      </rPr>
      <t>1</t>
    </r>
  </si>
  <si>
    <t>0170</t>
  </si>
  <si>
    <t>0111</t>
  </si>
  <si>
    <t>0118600</t>
  </si>
  <si>
    <t>Дошкільна освіта</t>
  </si>
  <si>
    <t>1010</t>
  </si>
  <si>
    <t>0910</t>
  </si>
  <si>
    <t>0111010</t>
  </si>
  <si>
    <t>3400</t>
  </si>
  <si>
    <t>1090</t>
  </si>
  <si>
    <t>0113400</t>
  </si>
  <si>
    <t>3190</t>
  </si>
  <si>
    <t>0113190</t>
  </si>
  <si>
    <t>1060</t>
  </si>
  <si>
    <t>0114090</t>
  </si>
  <si>
    <t>4090</t>
  </si>
  <si>
    <t>0114200</t>
  </si>
  <si>
    <t>4200</t>
  </si>
  <si>
    <t>0116310</t>
  </si>
  <si>
    <t>6310</t>
  </si>
  <si>
    <t>0490</t>
  </si>
  <si>
    <t>Благоустрій міст,сіл,селищ</t>
  </si>
  <si>
    <t>6650</t>
  </si>
  <si>
    <t>0456</t>
  </si>
  <si>
    <t>0116650</t>
  </si>
  <si>
    <t>0110170</t>
  </si>
  <si>
    <t>0117700</t>
  </si>
  <si>
    <t>7700</t>
  </si>
  <si>
    <t>0540</t>
  </si>
  <si>
    <t>0119180</t>
  </si>
  <si>
    <t>9180</t>
  </si>
  <si>
    <t>0113035</t>
  </si>
  <si>
    <t>3035</t>
  </si>
  <si>
    <t>1070</t>
  </si>
  <si>
    <t>Освіта</t>
  </si>
  <si>
    <t>8380</t>
  </si>
  <si>
    <t>0180</t>
  </si>
  <si>
    <t>8390</t>
  </si>
  <si>
    <t>8800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</si>
  <si>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</si>
  <si>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8680</t>
  </si>
  <si>
    <t>грн.</t>
  </si>
  <si>
    <t>Інші субвенції</t>
  </si>
  <si>
    <t>Найменування головного розпорядника,відповідального виконавця,бюджетної програми або напряму видатків
згідно з типовою відомчою класифікацією/ТПКВКМБ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</si>
  <si>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</si>
  <si>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0100000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</si>
  <si>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</si>
  <si>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Інші видатки на соціальний захист населення</t>
  </si>
  <si>
    <t>0828</t>
  </si>
  <si>
    <t>Палаци i будинки культури, клуби та iншi заклади клубного типу</t>
  </si>
  <si>
    <t>Реалізація заходів щодо інвестиційного розвитку територій</t>
  </si>
  <si>
    <t>Утримання та розвиток інфрастуктури доріг</t>
  </si>
  <si>
    <t>4060</t>
  </si>
  <si>
    <t>0114060</t>
  </si>
  <si>
    <t>0824</t>
  </si>
  <si>
    <t>Бібліотеки</t>
  </si>
  <si>
    <t>0829</t>
  </si>
  <si>
    <t>0113030</t>
  </si>
  <si>
    <t>3030</t>
  </si>
  <si>
    <t>Надання пільг з оплати послуг зв"язку та інших предбачених законодавством пільг(крім пільг на одержання ліків,зубопротезування,забезпечення продуктами харчування,оплату електроенергії,природного і скрапленого газу,на побутові потреби,твердого та рідкого пічного побутового палива,послуг тепло-,водопостачання та водовідведення,квартирної плати(утримання будинків і споруд та прибудинкових територій),вивезення побутового сміття та рідких нечистот)та компенсації за пільговий проїзд окремих категорій громадян.</t>
  </si>
  <si>
    <t>0116020</t>
  </si>
  <si>
    <t>6020</t>
  </si>
  <si>
    <t>0116021</t>
  </si>
  <si>
    <t>6021</t>
  </si>
  <si>
    <t>0610</t>
  </si>
  <si>
    <t>Капітальний ремонт об’єктів житлового господарства</t>
  </si>
  <si>
    <t>Капітальний ремонт житлового фонду</t>
  </si>
  <si>
    <t>Фінансова підтримка об’єктів комунального господарства</t>
  </si>
  <si>
    <t>Забезпечення функціонування водопровідно-каналізаційного господарства</t>
  </si>
  <si>
    <t>0116050</t>
  </si>
  <si>
    <t>6050</t>
  </si>
  <si>
    <t>0116052</t>
  </si>
  <si>
    <t>6052</t>
  </si>
  <si>
    <t>7500000</t>
  </si>
  <si>
    <t>7510000</t>
  </si>
  <si>
    <t>7510170</t>
  </si>
  <si>
    <t>Фінансове управління Коростишівської міської ради</t>
  </si>
  <si>
    <t>7518680</t>
  </si>
  <si>
    <t>7518380</t>
  </si>
  <si>
    <t>7518390</t>
  </si>
  <si>
    <t>7518800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</si>
  <si>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</si>
  <si>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</si>
  <si>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7518370</t>
  </si>
  <si>
    <t>Підтримка фізкультурно-спортивного руху</t>
  </si>
  <si>
    <t>0115050</t>
  </si>
  <si>
    <t>0115052</t>
  </si>
  <si>
    <t>0810</t>
  </si>
  <si>
    <t>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</si>
  <si>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</si>
  <si>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7518010</t>
  </si>
  <si>
    <t>Код</t>
  </si>
  <si>
    <t>5050</t>
  </si>
  <si>
    <t>0116051</t>
  </si>
  <si>
    <t>Забезпечення функціонування теплових мереж</t>
  </si>
  <si>
    <t>0101180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</si>
  <si>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</si>
  <si>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0101000</t>
  </si>
  <si>
    <t>0244000</t>
  </si>
  <si>
    <t>0240180</t>
  </si>
  <si>
    <t>0105031</t>
  </si>
  <si>
    <t>Утримання та навчально-тренувальна робота комунальних дитячо-юнацьких спортивних шкіл</t>
  </si>
  <si>
    <t>Доходи міського бюджету на 2017 рік</t>
  </si>
  <si>
    <t xml:space="preserve">Найменування згідно з класифікацією доходів бюджету </t>
  </si>
  <si>
    <t>в т.ч.бюджет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</si>
  <si>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</si>
  <si>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</si>
  <si>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</si>
  <si>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</si>
  <si>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</si>
  <si>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</si>
  <si>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</si>
  <si>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</si>
  <si>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</si>
  <si>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</si>
  <si>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</si>
  <si>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</si>
  <si>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</si>
  <si>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 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</si>
  <si>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</si>
  <si>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</si>
  <si>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</si>
  <si>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 xml:space="preserve">Податок на майно </t>
  </si>
  <si>
    <t xml:space="preserve">Податок на нерухоме майно, відмінне від земельної ділянки, сплачений юридичними особами, які є власниками об'єктів житлової нерухомості 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</si>
  <si>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</si>
  <si>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</si>
  <si>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Податок на нерухоме майно, відмінне від земельної ділянки, сплачений юридичними особами, які є власниками об'єктів нежитлової нерухомості </t>
  </si>
  <si>
    <t xml:space="preserve">Земельний податок з юридичних осіб </t>
  </si>
  <si>
    <t xml:space="preserve">Орендна плата з юридичних осіб </t>
  </si>
  <si>
    <t xml:space="preserve">Земельний податок з фізичних осіб </t>
  </si>
  <si>
    <t xml:space="preserve">Орендна плата з фізичних осіб 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</si>
  <si>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</si>
  <si>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</si>
  <si>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</si>
  <si>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збір,сплачений фізичними особами</t>
  </si>
  <si>
    <t xml:space="preserve">Єдиний податок  </t>
  </si>
  <si>
    <t>Єдиний податок з юридичних осіб</t>
  </si>
  <si>
    <t xml:space="preserve">Єдиний податок з фізичних осіб </t>
  </si>
  <si>
    <t>Єдиний податок з сільськогосподарських товарів</t>
  </si>
  <si>
    <t>Інші податки та збори</t>
  </si>
  <si>
    <t xml:space="preserve">Екологічний податок 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</si>
  <si>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</si>
  <si>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</si>
  <si>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</si>
  <si>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</si>
  <si>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</si>
  <si>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</si>
  <si>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</si>
  <si>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</si>
  <si>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</si>
  <si>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</si>
  <si>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</si>
  <si>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</si>
  <si>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</si>
  <si>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</si>
  <si>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Надходження  від штрафів та фінансових санкцій</t>
  </si>
  <si>
    <t>Інші неподаткові надходження</t>
  </si>
  <si>
    <t xml:space="preserve">Інші надходження  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</si>
  <si>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</si>
  <si>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Власні надходження бюджетних установ</t>
  </si>
  <si>
    <t>Плата за послуги, що надаються бюджетними установами згідно з їх основною діяльністю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</si>
  <si>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</si>
  <si>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</si>
  <si>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</si>
  <si>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</si>
  <si>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</si>
  <si>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</si>
  <si>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</t>
  </si>
  <si>
    <t>Від органів державного управління</t>
  </si>
  <si>
    <t>Кошти, що надходять з інших бюджетів</t>
  </si>
  <si>
    <t xml:space="preserve">Дотації </t>
  </si>
  <si>
    <t>Базова дотація </t>
  </si>
  <si>
    <t>Субвенції</t>
  </si>
  <si>
    <t xml:space="preserve">Інші додаткові дотації  </t>
  </si>
  <si>
    <t>Від урядів зарубіжних країн та міжнародних організацій</t>
  </si>
  <si>
    <t>Цільові фонди</t>
  </si>
  <si>
    <t xml:space="preserve">Інші фонди  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</si>
  <si>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</si>
  <si>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Інші субвенції. </t>
  </si>
  <si>
    <t>Субенція з державного бюджету місцевим бюджетам на фінансування у 2006 році Програм переможців Всеукраїнського конкурсу проектів та програм розвитку місцевого самоврядування 2005р.</t>
  </si>
  <si>
    <t>Субвенція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</si>
  <si>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зв’язку з невідповідн</t>
  </si>
  <si>
    <t>Субвенція з державного бюджету місцевим бюджетам на оснащення сільських амбулаторій та фельдшерсько-акушерських пунктів, придбання автомобілів шидкої медичної допомоги для сільських закладів охорони здоров"я.</t>
  </si>
  <si>
    <t>Додаткова дотація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забезпечення видатків на оплату праці</t>
  </si>
  <si>
    <t>Кошти, одержані із загального фонду бюджету до бюджету розвитку (спеціального фонду)</t>
  </si>
  <si>
    <t>Всього без (урахування трансфертів)</t>
  </si>
  <si>
    <t>М.К. Чиколай</t>
  </si>
  <si>
    <t>Секретар міської ради</t>
  </si>
  <si>
    <t>Є.П. Яковенко</t>
  </si>
  <si>
    <t>Н.М. Єсипчук</t>
  </si>
  <si>
    <t>Погоджено: в.о. начальника управління фінансів, провідний спеціаліст бюджетного відділу</t>
  </si>
  <si>
    <t>Н.О. Метельська</t>
  </si>
  <si>
    <t>С.О. Ящик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</si>
  <si>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</si>
  <si>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Адміністративний збір за проведення державної реєстрації речових прав на нерухоме майно та їх обтяжень</t>
  </si>
  <si>
    <t>Плата за надання відомостей з Єдиного державного реєстру юридичних осіб, фізичних осіб-підприємців та громадських формувань, за одержання інформації з інших державних реєстрів, держателем яких є центральний орган виконавчої влади з формування та забезпечення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</si>
  <si>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 підприємців та громадських формувань, а також плата за надання інших платних послуг</t>
  </si>
  <si>
    <t xml:space="preserve">Школи естетичного виховання дiтей       </t>
  </si>
  <si>
    <t>4100</t>
  </si>
  <si>
    <t>0960</t>
  </si>
  <si>
    <t>4070</t>
  </si>
  <si>
    <t>Надання позашкільної освіти позашкільними закладами освіти, заходи із позашкільної роботи з дітьми</t>
  </si>
  <si>
    <t>Музеї і виставки</t>
  </si>
  <si>
    <t>Міжбюджетні трансферти  з міського бюджету  місцевим/державному бюджетам  на 2017рік</t>
  </si>
  <si>
    <t>O2</t>
  </si>
  <si>
    <t>-</t>
  </si>
  <si>
    <t>Код бюджету</t>
  </si>
  <si>
    <t xml:space="preserve">Назва місцевого бюджету адміністративно-територіальної одиниці  </t>
  </si>
  <si>
    <t>Дотації з місцевого бюджету</t>
  </si>
  <si>
    <t>Субвенції з місцевого бюджету</t>
  </si>
  <si>
    <t>О3</t>
  </si>
  <si>
    <t>Субвенція загального фонду на:</t>
  </si>
  <si>
    <t>О4</t>
  </si>
  <si>
    <t>Додаткова дотація з міського бюджету місцевим бюджетам на здійснення переданих з державного бюджету видатків з утримання закладів освіти та охорони здоров’я</t>
  </si>
  <si>
    <t xml:space="preserve">Медична субвенція </t>
  </si>
  <si>
    <t>Освітня субвенція</t>
  </si>
  <si>
    <t>Інша субвенція</t>
  </si>
  <si>
    <t>…..</t>
  </si>
  <si>
    <t>…</t>
  </si>
  <si>
    <t>О5</t>
  </si>
  <si>
    <t>1822500000</t>
  </si>
  <si>
    <t>Коростишівський районний бюджет</t>
  </si>
  <si>
    <t>О6</t>
  </si>
  <si>
    <t>О7</t>
  </si>
  <si>
    <t>О8</t>
  </si>
  <si>
    <t>О9</t>
  </si>
  <si>
    <t>Державний бюджет</t>
  </si>
  <si>
    <t xml:space="preserve">                 Інші субвенції з міського бюджету місцевим/державному бюджетам на 2017 рік</t>
  </si>
  <si>
    <t>Місцевий бюджет якому надається субвенція</t>
  </si>
  <si>
    <t>Призначення субвенції</t>
  </si>
  <si>
    <t>загальний фонд</t>
  </si>
  <si>
    <t>спеціальний фонд</t>
  </si>
  <si>
    <t>Районний  бюджет</t>
  </si>
  <si>
    <t>Відділу освіти Коростишівської РДА для утримання позашкільних закладів освіти на поточні видатки</t>
  </si>
  <si>
    <t>Відділу освіти Коростишівської РДА для забезпечення методичної роботи, інших заходів у сфері народної освіти на поточні видатки</t>
  </si>
  <si>
    <t>Відділу освіти Коростишівської РДА для забезпечення інших закладів і заходів післядипломної освіти на поточні видатки</t>
  </si>
  <si>
    <t>Відділу освіти Коростишівської РДА для утримання централізованої бухгалтерії  на поточні видатки</t>
  </si>
  <si>
    <t>Відділу освіти Коростишівської РДА для утримання групи централізованого господарського обслуговування  на поточні видатки</t>
  </si>
  <si>
    <t>Відділу освіти Коростишівської РДА для надання допомоги дітям-сиротам та дітям, позбавленим батьківського піклування, яким виповнюється 18 років</t>
  </si>
  <si>
    <t>Коростишівській ЦРЛ ім.Д.І.Потєхіна на поточні видатки</t>
  </si>
  <si>
    <t>КЗ "Центру ПМСД Коростишівського району" на поточні видатки</t>
  </si>
  <si>
    <t>Коростишівському районному ЦСССДМ на поточні видатки</t>
  </si>
  <si>
    <t>Територіальному центру соціального обслуговування (надання соціальних послуг) Коростишівського району на поточні видатки</t>
  </si>
  <si>
    <t>УПСЗН Коростишівської РДА для здійснення видатків по компенсації фізичним особам по догляду за одинокими громадянами</t>
  </si>
  <si>
    <t>Коростишівському центру соціальної реабілітації дітей-інвалідів на поточні видатки</t>
  </si>
  <si>
    <t>Відділу культури Коростишівської РДА для утримання бібліотек на поточні видатки</t>
  </si>
  <si>
    <t>Відділу культури Коростишівської РДА для утримання музею на поточні видатки</t>
  </si>
  <si>
    <t>Відділу культури Коростишівської РДА для утримання районного Будинку культури на поточні видатки</t>
  </si>
  <si>
    <t>Відділу культури Коростишівської РДА для утримання шкіл естетичного виховання дітей на поточні видатки</t>
  </si>
  <si>
    <t>Відділу культури Коростишівської РДА для утримання інших культурно-освітніх закладів та заходів на поточні видатки</t>
  </si>
  <si>
    <t>КУ "Комплексній ДЮСШ" Коростишівської районної ради на поточні видатки</t>
  </si>
  <si>
    <t xml:space="preserve">Коростишівській ЦРЛ ім. Д.І. Потєхіна на придбання імуносупресивних лікарських засобів для гр. Юзефович Д.Й., гр. Бесарабчик М.М. та гр. Тимошенко Т.В. </t>
  </si>
  <si>
    <t>Коростишівській ЦРЛ ім. Д.І. Потєхіна для виплати заробітної плати з нарахуваннями</t>
  </si>
  <si>
    <t>ВСЬОГО:</t>
  </si>
  <si>
    <t>Перелік місцевих (регіональних) програм, які фінансуватимуться за рахунок коштів
міського бюджету  у 2017 році</t>
  </si>
  <si>
    <t>(тис. грн.)/грн.</t>
  </si>
  <si>
    <t>Код програмної класифікації видатків та кредитування місцевих бюджетів</t>
  </si>
  <si>
    <t>Код ТПКВКМБ</t>
  </si>
  <si>
    <t>Найменування головного розпорядника,відповідального виконавця,бюджетної програми або напряму видатків згідно з типовою відомчою класифікацією/ТПКВКМБ</t>
  </si>
  <si>
    <t>Найменування місцевої (регіональної) програми</t>
  </si>
  <si>
    <t>Разом загальний та спеціальний фонди</t>
  </si>
  <si>
    <t>100201</t>
  </si>
  <si>
    <t>Теплові мережі</t>
  </si>
  <si>
    <t>Програма соціально-економічного розвитку міста Коростишева, сіл Теснівки та Бобрика на 2017 рік</t>
  </si>
  <si>
    <r>
      <t xml:space="preserve">Обласна рада </t>
    </r>
    <r>
      <rPr>
        <i/>
        <sz val="10"/>
        <rFont val="Times New Roman"/>
        <family val="1"/>
      </rPr>
      <t>(головний розпорядник)</t>
    </r>
  </si>
  <si>
    <t>Перелік об’єктів, видатки на які у 2017  році будуть проводитися за рахунок коштів бюджету розвитку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</si>
  <si>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</si>
  <si>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</si>
  <si>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</si>
  <si>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</si>
  <si>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</si>
  <si>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Реалізація заходів щодо інвестиційного розвитку території</t>
  </si>
  <si>
    <t>Капітальний ремонт входів у підвальні приміщення житлового будинку по вул.С.Площа,4 в м.Коростишеві</t>
  </si>
  <si>
    <t>Капітальний ремонт водогінної мережі по вул.Шелушкова в м.Коростишеві</t>
  </si>
  <si>
    <t>Капітальний ремонт водогінної мережі по вул.Островського в м.Коростишеві</t>
  </si>
  <si>
    <t>Капітальний ремонт зовнішніх каналізаційних мереж ДНЗ№5 "Льонок" вул.Героїв Чорнобиля,48 м.Коростишів</t>
  </si>
  <si>
    <t>Капітальний ремонт будівель та споруд на головному водозаборі</t>
  </si>
  <si>
    <t>ПКД "Капітальний ремонт водогонів по вул. П.Орлика, № 7-16"</t>
  </si>
  <si>
    <t>Капітальний ремонт водогонів по вул. Огієнка</t>
  </si>
  <si>
    <t>Придбання глибинних насосів на артезіанські свердловини</t>
  </si>
  <si>
    <t>Капітальний ремонт станції водоочистки по вул. Грибоєдова в м.Коростишеві</t>
  </si>
  <si>
    <t>Капітальні видатки</t>
  </si>
  <si>
    <t>І.М. Кохан</t>
  </si>
  <si>
    <t>Фінансування міського бюджету  на 2017 рік</t>
  </si>
  <si>
    <t>Найменування 
згідно з класифікацією фінансування бюджету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</si>
  <si>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</si>
  <si>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</si>
  <si>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</si>
  <si>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</si>
  <si>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місцевих бюджетів</t>
  </si>
  <si>
    <t>208100</t>
  </si>
  <si>
    <t>На початок періоду</t>
  </si>
  <si>
    <t>208200</t>
  </si>
  <si>
    <t>На кінець періоду</t>
  </si>
  <si>
    <t>208400</t>
  </si>
  <si>
    <t>Кошти, що одержані із загального фонду бюджету до бюджету розвитку ( спеціального фонду)</t>
  </si>
  <si>
    <t>Всього за типом кредитора</t>
  </si>
  <si>
    <t>600000</t>
  </si>
  <si>
    <t>Фінансування за активними операціями</t>
  </si>
  <si>
    <t>602000</t>
  </si>
  <si>
    <t>Зміни обсягів готівкових коштів</t>
  </si>
  <si>
    <t>602100</t>
  </si>
  <si>
    <t>602200</t>
  </si>
  <si>
    <t>602400</t>
  </si>
  <si>
    <t>Всього за типом боргового зобов"язання</t>
  </si>
  <si>
    <t>Вільнянській сільській раді на утримання ДНЗ за відвідування дітей ОТГ</t>
  </si>
  <si>
    <t>Відділу освіти Коростишівської РДА для проведення поточного ремонту харчоблоку Більковецької школи</t>
  </si>
  <si>
    <t>Додаток № 5
до рішення ХХХ сесії VII скликання
"Про внесення змін до міського бюджету на 2017 рік" від 30.03.17р.№</t>
  </si>
  <si>
    <t>Додаток № 2
до рішення ХХХ сесії VII скликання
"Про внесення змін до бюджету на 2017 рік" від 30.03.17р.№</t>
  </si>
  <si>
    <t>Співфінансування проекту "Реконструкція даху і будівлі шляхом часткової термосанації (заміна вікон) Коростишівського навчально-виховного комплексу "Загальноосвітня школа І-ІІ ступенів-ліцей інформаційних технологій" ім. Л.Х. Дарбіняна Житомирської області в м. Коростишів, вул. Дарбіняна буд. 10"</t>
  </si>
  <si>
    <t>Співфінансування проекту "Реконструкція будівлі (термосанація) Коростишівської ЗОШ І-ІІІ ступенів №3 по вул. Назаренка, 16  в м. Коростишів, Житомирської області"</t>
  </si>
  <si>
    <t>Співфінансування проекту "Реконструкція котельні ЗОШ І-ІІІ ступенів №3 по вул. Назаренка, 16  в м. Коростишів, Житомирської області"</t>
  </si>
  <si>
    <t>Співфінансування проекту "Реконструкція будівлі по вул. Київській, 53 м. Коростишів Житомирської області під приміщення для позашкільного навчального закладу"</t>
  </si>
  <si>
    <t>Капітальний ремонт внутрішніх систем водопостачання та водовідведення ДНЗ № 6</t>
  </si>
  <si>
    <t>Придбання генеретора</t>
  </si>
  <si>
    <t xml:space="preserve">Додаток № 6
до рішення ХХХ сесії VII скликання
"Про внесення змін до міського бюджету на 2017 рік"  від 30.03.17р.№                                                                                                 </t>
  </si>
  <si>
    <t>Секретар міської ради                                                 _____________________________                                               Н.М. Єсипчук</t>
  </si>
  <si>
    <t>Відділу освіти Коростишівської РДА для утримання загальноосвітніх навчальних закладів ОТГ на поточні видатки</t>
  </si>
  <si>
    <t>6051</t>
  </si>
  <si>
    <t>1000000</t>
  </si>
  <si>
    <t>Відділ освіти, молоді та спорту коростишівської міської ради</t>
  </si>
  <si>
    <t>1010000</t>
  </si>
  <si>
    <t>1010180</t>
  </si>
  <si>
    <t>1015031</t>
  </si>
  <si>
    <t>1011010</t>
  </si>
  <si>
    <t>1011090</t>
  </si>
  <si>
    <t>1015050</t>
  </si>
  <si>
    <t>1015052</t>
  </si>
  <si>
    <t>2400000</t>
  </si>
  <si>
    <t>Відділ культури та туризму Коростишівської міської ради</t>
  </si>
  <si>
    <t>2410000</t>
  </si>
  <si>
    <t>2410180</t>
  </si>
  <si>
    <t>2414060</t>
  </si>
  <si>
    <t>2414070</t>
  </si>
  <si>
    <t>2414090</t>
  </si>
  <si>
    <t>2414100</t>
  </si>
  <si>
    <t>2414200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</si>
  <si>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рад.</t>
  </si>
  <si>
    <t>Відділ освіти, молоді та спорту Коростишівської міської ради</t>
  </si>
  <si>
    <t>1015030</t>
  </si>
  <si>
    <t>5031</t>
  </si>
  <si>
    <t>0110</t>
  </si>
  <si>
    <t>Діяльність закладів фізичної культури і спорту</t>
  </si>
  <si>
    <t>Керівництво і управління у відповідній сфері у містах, селищах, селах</t>
  </si>
  <si>
    <t>Додаток № 1
до рішення ХХХІ (скликаної позачергово) сесії VII скликання
"Про внесення змін до міського бюджету на 2017 рік" від 11.04.2017 №</t>
  </si>
  <si>
    <t xml:space="preserve">Додаток № 3
до рішення ХХХІ (скликаної позачергово) сесії VII скликання
"Про внесення змін до міського бюджету  на 2017 рік"від 11.04.17р.№                        </t>
  </si>
  <si>
    <t>Додаток № 4
до рішення ХХХІ (скликаної позачергово) сесії VII скликання
"Про внесення змін до міського бюджету на 2017 рік"від 11.04.17р.№</t>
  </si>
  <si>
    <t>Додаток № 4.1
до рішення ХХХІ (скликаної позачергово) сесії VII скликання
"Про внесення змін до міського бюджету на 2017 рік" від 11.04.17р.№</t>
  </si>
  <si>
    <t xml:space="preserve">Додаток 1                                                                       до обгрунтування щодо внесення змін до міського бюджету XXXI (скликаною позачергово) сесією VII скликання </t>
  </si>
  <si>
    <t>Плата за надання відомостей з Єдиного державного реєстру юридичних осіб, фізичних осіб-підприємців та громадських формувань, за одержання інформації з інших державних реєстрів, держателем яких є центральний орган виконавчої влади з формування та забезпече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</si>
  <si>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 підприємців та громадських формувань, а також плата за надання інших платних послу</t>
  </si>
  <si>
    <t>Начальник фінансового управління</t>
  </si>
  <si>
    <t>А.О. Якименко</t>
  </si>
  <si>
    <t xml:space="preserve">Додаток 2                                                                                                              до обгрунтування щодо внесення змін до міського бюджету XXXI (скликаною позачергово) сесією VII скликання </t>
  </si>
  <si>
    <t>Надання пільг з оплати послуг зв"язку та інших предбачених законодавством пільг(крім пільг на одержання ліків,зубопротезування,забезпечення продуктами харчування,оплату електроенергії,природного і скрапленого газу,на побутові потреби,твердого та рідкого 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</si>
</sst>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* _-#,##0&quot;р.&quot;;* \-#,##0&quot;р.&quot;;* _-&quot;-&quot;&quot;р.&quot;;@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;[Red]0.00"/>
  </numFmts>
  <fonts count="60">
    <font>
      <sz val="10"/>
      <name val="Times New Roman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Arial"/>
      <family val="0"/>
    </font>
    <font>
      <sz val="10"/>
      <name val="Courier New"/>
      <family val="3"/>
    </font>
    <font>
      <sz val="10"/>
      <color indexed="8"/>
      <name val="Arial"/>
      <family val="2"/>
    </font>
    <font>
      <sz val="10"/>
      <name val="Times New Roman CYR"/>
      <family val="0"/>
    </font>
    <font>
      <sz val="10"/>
      <name val="Helv"/>
      <family val="0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0"/>
    </font>
    <font>
      <vertAlign val="superscript"/>
      <sz val="10"/>
      <name val="Times New Roman"/>
      <family val="1"/>
    </font>
    <font>
      <sz val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2"/>
      <name val="Times New Roman"/>
      <family val="0"/>
    </font>
    <font>
      <b/>
      <sz val="10"/>
      <name val="Arial Cyr"/>
      <family val="0"/>
    </font>
    <font>
      <b/>
      <sz val="10"/>
      <name val="Times New Roman Cyr"/>
      <family val="1"/>
    </font>
    <font>
      <b/>
      <sz val="16"/>
      <name val="Times New Roman Cyr"/>
      <family val="0"/>
    </font>
    <font>
      <b/>
      <sz val="14"/>
      <name val="Times New Roman Cyr"/>
      <family val="1"/>
    </font>
    <font>
      <b/>
      <sz val="18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sz val="12"/>
      <name val="Times New Roman CYR"/>
      <family val="0"/>
    </font>
    <font>
      <sz val="14"/>
      <name val="Times New Roman"/>
      <family val="1"/>
    </font>
    <font>
      <b/>
      <sz val="11"/>
      <name val="Times New Roman Cyr"/>
      <family val="1"/>
    </font>
    <font>
      <b/>
      <sz val="14"/>
      <name val="Times New Roman"/>
      <family val="1"/>
    </font>
    <font>
      <b/>
      <sz val="10"/>
      <name val="Times New Roman CYR"/>
      <family val="0"/>
    </font>
    <font>
      <b/>
      <sz val="13"/>
      <name val="Times New Roman"/>
      <family val="1"/>
    </font>
    <font>
      <sz val="11"/>
      <name val="Arial"/>
      <family val="2"/>
    </font>
    <font>
      <b/>
      <sz val="12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6" fillId="0" borderId="0">
      <alignment/>
      <protection/>
    </xf>
    <xf numFmtId="0" fontId="15" fillId="0" borderId="0">
      <alignment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 vertical="top"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1" fillId="0" borderId="9" applyNumberFormat="0" applyFill="0" applyAlignment="0" applyProtection="0"/>
    <xf numFmtId="0" fontId="11" fillId="0" borderId="0">
      <alignment/>
      <protection/>
    </xf>
    <xf numFmtId="0" fontId="3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60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15" fillId="0" borderId="0" xfId="77">
      <alignment/>
      <protection/>
    </xf>
    <xf numFmtId="0" fontId="15" fillId="0" borderId="0" xfId="77" applyFont="1">
      <alignment/>
      <protection/>
    </xf>
    <xf numFmtId="0" fontId="15" fillId="0" borderId="10" xfId="77" applyBorder="1">
      <alignment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15" fillId="0" borderId="0" xfId="77" applyAlignment="1">
      <alignment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4" fontId="14" fillId="0" borderId="12" xfId="69" applyNumberFormat="1" applyFont="1" applyFill="1" applyBorder="1" applyAlignment="1">
      <alignment horizontal="center" vertical="center"/>
      <protection/>
    </xf>
    <xf numFmtId="4" fontId="13" fillId="0" borderId="12" xfId="69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49" fontId="4" fillId="0" borderId="12" xfId="0" applyNumberFormat="1" applyFont="1" applyFill="1" applyBorder="1" applyAlignment="1">
      <alignment horizontal="center" vertical="top"/>
    </xf>
    <xf numFmtId="0" fontId="15" fillId="0" borderId="0" xfId="77" applyFont="1" applyFill="1">
      <alignment/>
      <protection/>
    </xf>
    <xf numFmtId="0" fontId="14" fillId="0" borderId="12" xfId="0" applyFont="1" applyFill="1" applyBorder="1" applyAlignment="1">
      <alignment wrapText="1"/>
    </xf>
    <xf numFmtId="0" fontId="5" fillId="0" borderId="0" xfId="0" applyNumberFormat="1" applyFont="1" applyFill="1" applyAlignment="1" applyProtection="1">
      <alignment horizontal="center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4" fontId="14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4" fontId="13" fillId="0" borderId="12" xfId="0" applyNumberFormat="1" applyFont="1" applyFill="1" applyBorder="1" applyAlignment="1">
      <alignment horizontal="center" vertical="center"/>
    </xf>
    <xf numFmtId="0" fontId="15" fillId="0" borderId="0" xfId="77" applyFill="1" applyAlignment="1">
      <alignment wrapText="1"/>
      <protection/>
    </xf>
    <xf numFmtId="0" fontId="15" fillId="0" borderId="0" xfId="77" applyFill="1">
      <alignment/>
      <protection/>
    </xf>
    <xf numFmtId="0" fontId="15" fillId="0" borderId="0" xfId="77" applyFont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2" fontId="14" fillId="0" borderId="15" xfId="77" applyNumberFormat="1" applyFont="1" applyBorder="1" applyAlignment="1">
      <alignment horizontal="center" vertical="center" wrapText="1"/>
      <protection/>
    </xf>
    <xf numFmtId="0" fontId="14" fillId="0" borderId="15" xfId="77" applyNumberFormat="1" applyFont="1" applyBorder="1" applyAlignment="1">
      <alignment horizontal="center"/>
      <protection/>
    </xf>
    <xf numFmtId="0" fontId="14" fillId="0" borderId="15" xfId="77" applyNumberFormat="1" applyFont="1" applyBorder="1" applyAlignment="1">
      <alignment horizontal="center" wrapText="1"/>
      <protection/>
    </xf>
    <xf numFmtId="0" fontId="4" fillId="0" borderId="15" xfId="77" applyNumberFormat="1" applyFont="1" applyFill="1" applyBorder="1" applyAlignment="1" applyProtection="1">
      <alignment horizontal="center" vertical="center" wrapText="1"/>
      <protection/>
    </xf>
    <xf numFmtId="0" fontId="4" fillId="0" borderId="15" xfId="77" applyNumberFormat="1" applyFont="1" applyFill="1" applyBorder="1" applyAlignment="1" applyProtection="1">
      <alignment horizontal="left" vertical="center" wrapText="1"/>
      <protection/>
    </xf>
    <xf numFmtId="2" fontId="4" fillId="0" borderId="15" xfId="77" applyNumberFormat="1" applyFont="1" applyFill="1" applyBorder="1" applyAlignment="1" applyProtection="1">
      <alignment horizontal="left" vertical="center" wrapText="1"/>
      <protection/>
    </xf>
    <xf numFmtId="2" fontId="13" fillId="0" borderId="15" xfId="77" applyNumberFormat="1" applyFont="1" applyBorder="1" applyAlignment="1">
      <alignment horizontal="center"/>
      <protection/>
    </xf>
    <xf numFmtId="0" fontId="0" fillId="0" borderId="16" xfId="77" applyNumberFormat="1" applyFont="1" applyFill="1" applyBorder="1" applyAlignment="1" applyProtection="1">
      <alignment horizontal="center" vertical="center" wrapText="1"/>
      <protection/>
    </xf>
    <xf numFmtId="0" fontId="0" fillId="0" borderId="16" xfId="77" applyNumberFormat="1" applyFont="1" applyFill="1" applyBorder="1" applyAlignment="1" applyProtection="1">
      <alignment vertical="center" wrapText="1"/>
      <protection/>
    </xf>
    <xf numFmtId="2" fontId="13" fillId="0" borderId="15" xfId="77" applyNumberFormat="1" applyFont="1" applyBorder="1" applyAlignment="1">
      <alignment horizontal="center" vertical="center" wrapText="1"/>
      <protection/>
    </xf>
    <xf numFmtId="0" fontId="4" fillId="0" borderId="17" xfId="78" applyFont="1" applyBorder="1" applyAlignment="1">
      <alignment horizontal="center" vertical="center"/>
      <protection/>
    </xf>
    <xf numFmtId="0" fontId="4" fillId="0" borderId="15" xfId="78" applyFont="1" applyBorder="1" applyAlignment="1">
      <alignment vertical="center" wrapText="1"/>
      <protection/>
    </xf>
    <xf numFmtId="2" fontId="13" fillId="0" borderId="18" xfId="77" applyNumberFormat="1" applyFont="1" applyBorder="1" applyAlignment="1">
      <alignment horizontal="center" vertical="center" wrapText="1"/>
      <protection/>
    </xf>
    <xf numFmtId="0" fontId="0" fillId="0" borderId="15" xfId="78" applyFont="1" applyBorder="1" applyAlignment="1">
      <alignment horizontal="center" vertical="center"/>
      <protection/>
    </xf>
    <xf numFmtId="0" fontId="0" fillId="0" borderId="15" xfId="78" applyFont="1" applyBorder="1" applyAlignment="1">
      <alignment vertical="center" wrapText="1"/>
      <protection/>
    </xf>
    <xf numFmtId="2" fontId="14" fillId="0" borderId="18" xfId="77" applyNumberFormat="1" applyFont="1" applyBorder="1" applyAlignment="1">
      <alignment horizontal="center" vertical="center" wrapText="1"/>
      <protection/>
    </xf>
    <xf numFmtId="0" fontId="0" fillId="0" borderId="19" xfId="77" applyNumberFormat="1" applyFont="1" applyFill="1" applyBorder="1" applyAlignment="1" applyProtection="1">
      <alignment horizontal="center" vertical="center" wrapText="1"/>
      <protection/>
    </xf>
    <xf numFmtId="0" fontId="0" fillId="0" borderId="19" xfId="77" applyNumberFormat="1" applyFont="1" applyFill="1" applyBorder="1" applyAlignment="1" applyProtection="1">
      <alignment vertical="center" wrapText="1"/>
      <protection/>
    </xf>
    <xf numFmtId="0" fontId="0" fillId="0" borderId="15" xfId="77" applyNumberFormat="1" applyFont="1" applyFill="1" applyBorder="1" applyAlignment="1" applyProtection="1">
      <alignment horizontal="center" vertical="center" wrapText="1"/>
      <protection/>
    </xf>
    <xf numFmtId="0" fontId="0" fillId="0" borderId="15" xfId="77" applyNumberFormat="1" applyFont="1" applyFill="1" applyBorder="1" applyAlignment="1" applyProtection="1">
      <alignment vertical="center" wrapText="1"/>
      <protection/>
    </xf>
    <xf numFmtId="0" fontId="4" fillId="0" borderId="15" xfId="77" applyNumberFormat="1" applyFont="1" applyFill="1" applyBorder="1" applyAlignment="1" applyProtection="1">
      <alignment vertical="center" wrapText="1"/>
      <protection/>
    </xf>
    <xf numFmtId="0" fontId="7" fillId="0" borderId="0" xfId="77" applyFont="1">
      <alignment/>
      <protection/>
    </xf>
    <xf numFmtId="0" fontId="0" fillId="0" borderId="15" xfId="77" applyNumberFormat="1" applyFont="1" applyFill="1" applyBorder="1" applyAlignment="1" applyProtection="1">
      <alignment horizontal="left" vertical="center" wrapText="1"/>
      <protection/>
    </xf>
    <xf numFmtId="0" fontId="34" fillId="0" borderId="15" xfId="0" applyFont="1" applyBorder="1" applyAlignment="1">
      <alignment wrapText="1"/>
    </xf>
    <xf numFmtId="0" fontId="15" fillId="24" borderId="0" xfId="77" applyFont="1" applyFill="1">
      <alignment/>
      <protection/>
    </xf>
    <xf numFmtId="2" fontId="14" fillId="0" borderId="15" xfId="77" applyNumberFormat="1" applyFont="1" applyFill="1" applyBorder="1" applyAlignment="1">
      <alignment horizontal="center" vertical="center" wrapText="1"/>
      <protection/>
    </xf>
    <xf numFmtId="0" fontId="13" fillId="0" borderId="15" xfId="77" applyFont="1" applyFill="1" applyBorder="1" applyAlignment="1">
      <alignment horizontal="center" vertical="center" wrapText="1" shrinkToFit="1"/>
      <protection/>
    </xf>
    <xf numFmtId="0" fontId="4" fillId="0" borderId="15" xfId="77" applyFont="1" applyBorder="1" applyAlignment="1">
      <alignment wrapText="1"/>
      <protection/>
    </xf>
    <xf numFmtId="2" fontId="4" fillId="0" borderId="15" xfId="77" applyNumberFormat="1" applyFont="1" applyBorder="1">
      <alignment/>
      <protection/>
    </xf>
    <xf numFmtId="0" fontId="14" fillId="0" borderId="15" xfId="77" applyFont="1" applyBorder="1" applyAlignment="1">
      <alignment horizontal="center" vertical="center" wrapText="1" shrinkToFit="1"/>
      <protection/>
    </xf>
    <xf numFmtId="0" fontId="14" fillId="0" borderId="15" xfId="77" applyFont="1" applyBorder="1" applyAlignment="1">
      <alignment horizontal="justify" wrapText="1"/>
      <protection/>
    </xf>
    <xf numFmtId="0" fontId="0" fillId="0" borderId="15" xfId="77" applyNumberFormat="1" applyFont="1" applyBorder="1" applyAlignment="1">
      <alignment wrapText="1"/>
      <protection/>
    </xf>
    <xf numFmtId="0" fontId="0" fillId="0" borderId="15" xfId="77" applyFont="1" applyBorder="1" applyAlignment="1">
      <alignment wrapText="1"/>
      <protection/>
    </xf>
    <xf numFmtId="0" fontId="15" fillId="0" borderId="0" xfId="77" applyAlignment="1">
      <alignment horizontal="center"/>
      <protection/>
    </xf>
    <xf numFmtId="0" fontId="15" fillId="0" borderId="0" xfId="77" applyFont="1" applyAlignment="1">
      <alignment horizontal="center"/>
      <protection/>
    </xf>
    <xf numFmtId="0" fontId="15" fillId="0" borderId="10" xfId="77" applyFont="1" applyFill="1" applyBorder="1">
      <alignment/>
      <protection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25" borderId="0" xfId="0" applyFont="1" applyFill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0" fillId="25" borderId="0" xfId="0" applyFont="1" applyFill="1" applyBorder="1" applyAlignment="1">
      <alignment/>
    </xf>
    <xf numFmtId="0" fontId="39" fillId="0" borderId="0" xfId="0" applyFont="1" applyBorder="1" applyAlignment="1">
      <alignment horizontal="right" vertical="center" wrapText="1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40" fillId="0" borderId="0" xfId="0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right" vertical="center"/>
      <protection/>
    </xf>
    <xf numFmtId="0" fontId="41" fillId="0" borderId="12" xfId="0" applyFont="1" applyBorder="1" applyAlignment="1">
      <alignment horizontal="right"/>
    </xf>
    <xf numFmtId="0" fontId="42" fillId="0" borderId="12" xfId="34" applyFont="1" applyBorder="1" applyAlignment="1">
      <alignment horizontal="right"/>
      <protection/>
    </xf>
    <xf numFmtId="0" fontId="42" fillId="0" borderId="20" xfId="34" applyFont="1" applyBorder="1" applyAlignment="1">
      <alignment horizontal="center"/>
      <protection/>
    </xf>
    <xf numFmtId="0" fontId="42" fillId="25" borderId="12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42" fillId="25" borderId="12" xfId="0" applyFont="1" applyFill="1" applyBorder="1" applyAlignment="1">
      <alignment horizontal="left" vertical="center" wrapText="1"/>
    </xf>
    <xf numFmtId="0" fontId="35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0" fontId="44" fillId="0" borderId="12" xfId="0" applyFont="1" applyBorder="1" applyAlignment="1">
      <alignment wrapText="1"/>
    </xf>
    <xf numFmtId="0" fontId="45" fillId="0" borderId="12" xfId="0" applyFont="1" applyBorder="1" applyAlignment="1">
      <alignment horizontal="right"/>
    </xf>
    <xf numFmtId="0" fontId="5" fillId="0" borderId="12" xfId="34" applyFont="1" applyBorder="1" applyAlignment="1">
      <alignment horizontal="right"/>
      <protection/>
    </xf>
    <xf numFmtId="0" fontId="5" fillId="0" borderId="20" xfId="34" applyFont="1" applyBorder="1" applyAlignment="1">
      <alignment horizontal="center"/>
      <protection/>
    </xf>
    <xf numFmtId="49" fontId="44" fillId="0" borderId="12" xfId="0" applyNumberFormat="1" applyFont="1" applyBorder="1" applyAlignment="1">
      <alignment wrapText="1"/>
    </xf>
    <xf numFmtId="4" fontId="46" fillId="25" borderId="12" xfId="0" applyNumberFormat="1" applyFont="1" applyFill="1" applyBorder="1" applyAlignment="1">
      <alignment wrapText="1"/>
    </xf>
    <xf numFmtId="4" fontId="46" fillId="25" borderId="12" xfId="0" applyNumberFormat="1" applyFont="1" applyFill="1" applyBorder="1" applyAlignment="1">
      <alignment horizontal="right" wrapText="1"/>
    </xf>
    <xf numFmtId="49" fontId="46" fillId="25" borderId="12" xfId="0" applyNumberFormat="1" applyFont="1" applyFill="1" applyBorder="1" applyAlignment="1">
      <alignment horizontal="right" wrapText="1"/>
    </xf>
    <xf numFmtId="49" fontId="46" fillId="25" borderId="12" xfId="0" applyNumberFormat="1" applyFont="1" applyFill="1" applyBorder="1" applyAlignment="1">
      <alignment wrapText="1"/>
    </xf>
    <xf numFmtId="0" fontId="47" fillId="0" borderId="12" xfId="0" applyFont="1" applyBorder="1" applyAlignment="1">
      <alignment horizontal="right"/>
    </xf>
    <xf numFmtId="0" fontId="45" fillId="0" borderId="12" xfId="0" applyFont="1" applyBorder="1" applyAlignment="1">
      <alignment horizontal="right"/>
    </xf>
    <xf numFmtId="0" fontId="45" fillId="0" borderId="12" xfId="0" applyFont="1" applyBorder="1" applyAlignment="1">
      <alignment horizontal="right" wrapText="1"/>
    </xf>
    <xf numFmtId="0" fontId="5" fillId="0" borderId="12" xfId="34" applyFont="1" applyBorder="1" applyAlignment="1">
      <alignment horizontal="right" wrapText="1"/>
      <protection/>
    </xf>
    <xf numFmtId="0" fontId="48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49" fillId="0" borderId="0" xfId="77" applyFont="1" applyAlignment="1">
      <alignment wrapText="1"/>
      <protection/>
    </xf>
    <xf numFmtId="0" fontId="49" fillId="0" borderId="0" xfId="77" applyFont="1">
      <alignment/>
      <protection/>
    </xf>
    <xf numFmtId="0" fontId="49" fillId="0" borderId="21" xfId="77" applyFont="1" applyBorder="1">
      <alignment/>
      <protection/>
    </xf>
    <xf numFmtId="0" fontId="49" fillId="0" borderId="0" xfId="77" applyFont="1">
      <alignment/>
      <protection/>
    </xf>
    <xf numFmtId="2" fontId="36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50" fillId="0" borderId="22" xfId="0" applyFont="1" applyBorder="1" applyAlignment="1">
      <alignment horizontal="center"/>
    </xf>
    <xf numFmtId="0" fontId="0" fillId="0" borderId="0" xfId="80" applyFont="1" applyFill="1" applyAlignment="1">
      <alignment horizontal="centerContinuous"/>
      <protection/>
    </xf>
    <xf numFmtId="0" fontId="6" fillId="0" borderId="0" xfId="80" applyFont="1">
      <alignment/>
      <protection/>
    </xf>
    <xf numFmtId="0" fontId="0" fillId="0" borderId="0" xfId="80" applyFont="1" applyAlignment="1">
      <alignment/>
      <protection/>
    </xf>
    <xf numFmtId="0" fontId="0" fillId="0" borderId="0" xfId="80" applyFont="1" applyFill="1">
      <alignment/>
      <protection/>
    </xf>
    <xf numFmtId="0" fontId="15" fillId="0" borderId="0" xfId="80" applyFont="1" applyFill="1">
      <alignment/>
      <protection/>
    </xf>
    <xf numFmtId="0" fontId="6" fillId="0" borderId="0" xfId="80" applyFont="1" applyFill="1">
      <alignment/>
      <protection/>
    </xf>
    <xf numFmtId="0" fontId="0" fillId="0" borderId="0" xfId="80" applyFont="1" applyFill="1" applyAlignment="1">
      <alignment horizontal="left"/>
      <protection/>
    </xf>
    <xf numFmtId="0" fontId="0" fillId="0" borderId="0" xfId="80" applyFont="1" applyFill="1" applyAlignment="1">
      <alignment/>
      <protection/>
    </xf>
    <xf numFmtId="0" fontId="0" fillId="0" borderId="0" xfId="80" applyFont="1" applyAlignment="1">
      <alignment horizontal="center"/>
      <protection/>
    </xf>
    <xf numFmtId="0" fontId="4" fillId="0" borderId="0" xfId="80" applyFont="1" applyFill="1" applyBorder="1" applyAlignment="1">
      <alignment horizontal="center"/>
      <protection/>
    </xf>
    <xf numFmtId="0" fontId="0" fillId="0" borderId="0" xfId="80" applyFont="1" applyFill="1" applyAlignment="1">
      <alignment horizontal="right"/>
      <protection/>
    </xf>
    <xf numFmtId="0" fontId="0" fillId="0" borderId="23" xfId="80" applyFont="1" applyBorder="1" applyAlignment="1">
      <alignment horizontal="center" vertical="top" wrapText="1"/>
      <protection/>
    </xf>
    <xf numFmtId="0" fontId="0" fillId="0" borderId="12" xfId="80" applyFont="1" applyBorder="1" applyAlignment="1">
      <alignment horizontal="center" vertical="top" wrapText="1"/>
      <protection/>
    </xf>
    <xf numFmtId="0" fontId="0" fillId="0" borderId="12" xfId="80" applyFont="1" applyFill="1" applyBorder="1" applyAlignment="1">
      <alignment horizontal="center" vertical="center" wrapText="1"/>
      <protection/>
    </xf>
    <xf numFmtId="0" fontId="0" fillId="0" borderId="23" xfId="80" applyFont="1" applyBorder="1" applyAlignment="1">
      <alignment horizontal="center" vertical="center" wrapText="1"/>
      <protection/>
    </xf>
    <xf numFmtId="0" fontId="0" fillId="0" borderId="12" xfId="80" applyFont="1" applyBorder="1" applyAlignment="1">
      <alignment horizontal="center" vertical="center" wrapText="1"/>
      <protection/>
    </xf>
    <xf numFmtId="0" fontId="0" fillId="0" borderId="0" xfId="80" applyFont="1" applyFill="1" applyAlignment="1">
      <alignment horizontal="center" vertical="center"/>
      <protection/>
    </xf>
    <xf numFmtId="0" fontId="0" fillId="0" borderId="12" xfId="79" applyFont="1" applyBorder="1" applyAlignment="1">
      <alignment horizontal="justify" vertical="center" wrapText="1"/>
      <protection/>
    </xf>
    <xf numFmtId="174" fontId="0" fillId="0" borderId="12" xfId="82" applyNumberFormat="1" applyFont="1" applyFill="1" applyBorder="1" applyAlignment="1">
      <alignment horizontal="center" vertical="center" wrapText="1"/>
      <protection/>
    </xf>
    <xf numFmtId="174" fontId="0" fillId="0" borderId="12" xfId="80" applyNumberFormat="1" applyFont="1" applyFill="1" applyBorder="1" applyAlignment="1">
      <alignment horizontal="center" vertical="center"/>
      <protection/>
    </xf>
    <xf numFmtId="174" fontId="0" fillId="0" borderId="0" xfId="80" applyNumberFormat="1" applyFont="1">
      <alignment/>
      <protection/>
    </xf>
    <xf numFmtId="174" fontId="0" fillId="0" borderId="0" xfId="80" applyNumberFormat="1" applyFont="1" applyFill="1">
      <alignment/>
      <protection/>
    </xf>
    <xf numFmtId="0" fontId="0" fillId="0" borderId="0" xfId="80" applyFont="1">
      <alignment/>
      <protection/>
    </xf>
    <xf numFmtId="0" fontId="0" fillId="0" borderId="12" xfId="79" applyFont="1" applyBorder="1" applyAlignment="1">
      <alignment vertical="center" wrapText="1"/>
      <protection/>
    </xf>
    <xf numFmtId="0" fontId="0" fillId="25" borderId="12" xfId="79" applyFont="1" applyFill="1" applyBorder="1" applyAlignment="1">
      <alignment horizontal="justify" vertical="center" wrapText="1"/>
      <protection/>
    </xf>
    <xf numFmtId="174" fontId="14" fillId="0" borderId="12" xfId="80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wrapText="1"/>
    </xf>
    <xf numFmtId="0" fontId="0" fillId="0" borderId="12" xfId="80" applyFont="1" applyFill="1" applyBorder="1" applyAlignment="1">
      <alignment horizontal="justify" vertical="center" wrapText="1"/>
      <protection/>
    </xf>
    <xf numFmtId="174" fontId="4" fillId="0" borderId="12" xfId="80" applyNumberFormat="1" applyFont="1" applyFill="1" applyBorder="1" applyAlignment="1">
      <alignment horizontal="center" wrapText="1"/>
      <protection/>
    </xf>
    <xf numFmtId="1" fontId="0" fillId="0" borderId="0" xfId="80" applyNumberFormat="1" applyFont="1" applyFill="1">
      <alignment/>
      <protection/>
    </xf>
    <xf numFmtId="3" fontId="0" fillId="0" borderId="0" xfId="80" applyNumberFormat="1" applyFont="1" applyFill="1">
      <alignment/>
      <protection/>
    </xf>
    <xf numFmtId="0" fontId="0" fillId="0" borderId="21" xfId="77" applyFont="1" applyBorder="1">
      <alignment/>
      <protection/>
    </xf>
    <xf numFmtId="0" fontId="0" fillId="0" borderId="0" xfId="77" applyFont="1">
      <alignment/>
      <protection/>
    </xf>
    <xf numFmtId="0" fontId="0" fillId="0" borderId="0" xfId="80" applyFont="1" applyAlignment="1">
      <alignment horizontal="left"/>
      <protection/>
    </xf>
    <xf numFmtId="0" fontId="0" fillId="0" borderId="0" xfId="81" applyFont="1" applyBorder="1">
      <alignment/>
      <protection/>
    </xf>
    <xf numFmtId="1" fontId="51" fillId="0" borderId="0" xfId="80" applyNumberFormat="1" applyFont="1">
      <alignment/>
      <protection/>
    </xf>
    <xf numFmtId="0" fontId="51" fillId="0" borderId="0" xfId="80" applyFont="1">
      <alignment/>
      <protection/>
    </xf>
    <xf numFmtId="1" fontId="0" fillId="0" borderId="0" xfId="80" applyNumberFormat="1" applyFont="1">
      <alignment/>
      <protection/>
    </xf>
    <xf numFmtId="3" fontId="52" fillId="0" borderId="0" xfId="80" applyNumberFormat="1" applyFont="1" applyFill="1">
      <alignment/>
      <protection/>
    </xf>
    <xf numFmtId="0" fontId="52" fillId="0" borderId="0" xfId="80" applyFont="1" applyFill="1">
      <alignment/>
      <protection/>
    </xf>
    <xf numFmtId="0" fontId="35" fillId="0" borderId="0" xfId="75" applyNumberFormat="1" applyFont="1" applyFill="1" applyAlignment="1" applyProtection="1">
      <alignment/>
      <protection/>
    </xf>
    <xf numFmtId="0" fontId="35" fillId="0" borderId="0" xfId="75" applyFont="1" applyFill="1">
      <alignment/>
      <protection/>
    </xf>
    <xf numFmtId="0" fontId="0" fillId="0" borderId="0" xfId="75" applyNumberFormat="1" applyFont="1" applyFill="1" applyAlignment="1" applyProtection="1">
      <alignment/>
      <protection/>
    </xf>
    <xf numFmtId="0" fontId="2" fillId="0" borderId="0" xfId="75" applyNumberFormat="1" applyFont="1" applyFill="1" applyAlignment="1" applyProtection="1">
      <alignment vertical="center" wrapText="1"/>
      <protection/>
    </xf>
    <xf numFmtId="0" fontId="0" fillId="0" borderId="0" xfId="75" applyFont="1" applyFill="1">
      <alignment/>
      <protection/>
    </xf>
    <xf numFmtId="0" fontId="0" fillId="0" borderId="10" xfId="75" applyFont="1" applyFill="1" applyBorder="1" applyAlignment="1">
      <alignment horizontal="center"/>
      <protection/>
    </xf>
    <xf numFmtId="0" fontId="0" fillId="0" borderId="0" xfId="75" applyFont="1" applyFill="1" applyBorder="1" applyAlignment="1">
      <alignment horizontal="center"/>
      <protection/>
    </xf>
    <xf numFmtId="0" fontId="46" fillId="0" borderId="0" xfId="75" applyNumberFormat="1" applyFont="1" applyFill="1" applyBorder="1" applyAlignment="1" applyProtection="1">
      <alignment horizontal="center" vertical="top"/>
      <protection/>
    </xf>
    <xf numFmtId="0" fontId="17" fillId="0" borderId="10" xfId="75" applyNumberFormat="1" applyFont="1" applyFill="1" applyBorder="1" applyAlignment="1" applyProtection="1">
      <alignment horizontal="right" vertical="center"/>
      <protection/>
    </xf>
    <xf numFmtId="0" fontId="0" fillId="0" borderId="0" xfId="75" applyNumberFormat="1" applyFont="1" applyFill="1" applyBorder="1" applyAlignment="1" applyProtection="1">
      <alignment/>
      <protection/>
    </xf>
    <xf numFmtId="0" fontId="4" fillId="0" borderId="24" xfId="75" applyNumberFormat="1" applyFont="1" applyFill="1" applyBorder="1" applyAlignment="1" applyProtection="1">
      <alignment horizontal="center" vertical="center" wrapText="1"/>
      <protection/>
    </xf>
    <xf numFmtId="0" fontId="4" fillId="0" borderId="14" xfId="75" applyNumberFormat="1" applyFont="1" applyFill="1" applyBorder="1" applyAlignment="1" applyProtection="1">
      <alignment horizontal="center" vertical="center" wrapText="1"/>
      <protection/>
    </xf>
    <xf numFmtId="0" fontId="4" fillId="0" borderId="12" xfId="75" applyFont="1" applyBorder="1" applyAlignment="1">
      <alignment horizontal="center" vertical="center" wrapText="1"/>
      <protection/>
    </xf>
    <xf numFmtId="0" fontId="4" fillId="0" borderId="12" xfId="75" applyNumberFormat="1" applyFont="1" applyFill="1" applyBorder="1" applyAlignment="1" applyProtection="1">
      <alignment vertical="center" wrapText="1"/>
      <protection/>
    </xf>
    <xf numFmtId="0" fontId="0" fillId="0" borderId="0" xfId="75" applyNumberFormat="1" applyFont="1" applyFill="1" applyAlignment="1" applyProtection="1">
      <alignment vertical="center"/>
      <protection/>
    </xf>
    <xf numFmtId="49" fontId="5" fillId="0" borderId="12" xfId="75" applyNumberFormat="1" applyFont="1" applyBorder="1" applyAlignment="1">
      <alignment horizontal="center" vertical="center" wrapText="1"/>
      <protection/>
    </xf>
    <xf numFmtId="0" fontId="5" fillId="0" borderId="12" xfId="75" applyFont="1" applyBorder="1" applyAlignment="1">
      <alignment horizontal="justify" vertical="center" wrapText="1"/>
      <protection/>
    </xf>
    <xf numFmtId="174" fontId="13" fillId="0" borderId="12" xfId="69" applyNumberFormat="1" applyFont="1" applyBorder="1" applyAlignment="1">
      <alignment vertical="center"/>
      <protection/>
    </xf>
    <xf numFmtId="0" fontId="0" fillId="0" borderId="0" xfId="75" applyFont="1" applyFill="1" applyAlignment="1">
      <alignment vertical="center"/>
      <protection/>
    </xf>
    <xf numFmtId="0" fontId="5" fillId="0" borderId="12" xfId="75" applyFont="1" applyBorder="1" applyAlignment="1">
      <alignment horizontal="center" vertical="center" wrapText="1"/>
      <protection/>
    </xf>
    <xf numFmtId="174" fontId="13" fillId="0" borderId="12" xfId="69" applyNumberFormat="1" applyFont="1" applyBorder="1" applyAlignment="1">
      <alignment horizontal="center" vertical="center"/>
      <protection/>
    </xf>
    <xf numFmtId="4" fontId="13" fillId="0" borderId="12" xfId="91" applyNumberFormat="1" applyFont="1" applyBorder="1" applyAlignment="1">
      <alignment horizontal="center" vertical="center"/>
    </xf>
    <xf numFmtId="49" fontId="2" fillId="0" borderId="12" xfId="75" applyNumberFormat="1" applyFont="1" applyBorder="1" applyAlignment="1">
      <alignment horizontal="center" vertical="center" wrapText="1"/>
      <protection/>
    </xf>
    <xf numFmtId="0" fontId="2" fillId="0" borderId="12" xfId="75" applyFont="1" applyBorder="1" applyAlignment="1">
      <alignment horizontal="justify" vertical="center" wrapText="1"/>
      <protection/>
    </xf>
    <xf numFmtId="4" fontId="14" fillId="0" borderId="12" xfId="69" applyNumberFormat="1" applyFont="1" applyBorder="1" applyAlignment="1">
      <alignment horizontal="center" vertical="center"/>
      <protection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4" fillId="0" borderId="0" xfId="75" applyNumberFormat="1" applyFont="1" applyFill="1" applyAlignment="1" applyProtection="1">
      <alignment/>
      <protection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4" fontId="13" fillId="0" borderId="12" xfId="69" applyNumberFormat="1" applyFont="1" applyBorder="1" applyAlignment="1">
      <alignment horizontal="center" vertical="center"/>
      <protection/>
    </xf>
    <xf numFmtId="0" fontId="4" fillId="0" borderId="0" xfId="75" applyFont="1" applyFill="1">
      <alignment/>
      <protection/>
    </xf>
    <xf numFmtId="0" fontId="2" fillId="0" borderId="12" xfId="75" applyFont="1" applyBorder="1" applyAlignment="1">
      <alignment horizontal="center" vertical="center" wrapText="1"/>
      <protection/>
    </xf>
    <xf numFmtId="0" fontId="5" fillId="0" borderId="12" xfId="75" applyFont="1" applyBorder="1" applyAlignment="1">
      <alignment horizontal="left" vertical="center" wrapText="1"/>
      <protection/>
    </xf>
    <xf numFmtId="174" fontId="53" fillId="0" borderId="12" xfId="75" applyNumberFormat="1" applyFont="1" applyBorder="1" applyAlignment="1">
      <alignment horizontal="center" vertical="center"/>
      <protection/>
    </xf>
    <xf numFmtId="4" fontId="54" fillId="0" borderId="12" xfId="75" applyNumberFormat="1" applyFont="1" applyBorder="1" applyAlignment="1">
      <alignment horizontal="center" vertical="center"/>
      <protection/>
    </xf>
    <xf numFmtId="0" fontId="0" fillId="0" borderId="0" xfId="75" applyFont="1" applyAlignment="1">
      <alignment horizontal="left" vertical="center" wrapText="1"/>
      <protection/>
    </xf>
    <xf numFmtId="0" fontId="0" fillId="0" borderId="0" xfId="75" applyNumberFormat="1" applyFont="1" applyFill="1" applyBorder="1" applyAlignment="1" applyProtection="1">
      <alignment vertical="center" wrapText="1"/>
      <protection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/>
    </xf>
    <xf numFmtId="0" fontId="4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46" fillId="0" borderId="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74" fontId="13" fillId="0" borderId="12" xfId="69" applyNumberFormat="1" applyFont="1" applyBorder="1" applyAlignment="1">
      <alignment vertical="center" wrapText="1"/>
      <protection/>
    </xf>
    <xf numFmtId="174" fontId="13" fillId="0" borderId="12" xfId="69" applyNumberFormat="1" applyFont="1" applyBorder="1" applyAlignment="1">
      <alignment vertical="top" wrapText="1"/>
      <protection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NumberFormat="1" applyFont="1" applyFill="1" applyBorder="1" applyAlignment="1" applyProtection="1">
      <alignment wrapText="1"/>
      <protection/>
    </xf>
    <xf numFmtId="2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justify" vertical="top" wrapText="1"/>
    </xf>
    <xf numFmtId="2" fontId="14" fillId="0" borderId="12" xfId="69" applyNumberFormat="1" applyFont="1" applyBorder="1" applyAlignment="1">
      <alignment horizontal="center" vertical="center"/>
      <protection/>
    </xf>
    <xf numFmtId="2" fontId="0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Border="1" applyAlignment="1" applyProtection="1">
      <alignment horizontal="center" vertical="center" wrapText="1"/>
      <protection locked="0"/>
    </xf>
    <xf numFmtId="4" fontId="14" fillId="0" borderId="12" xfId="69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top" wrapText="1"/>
    </xf>
    <xf numFmtId="174" fontId="14" fillId="0" borderId="12" xfId="69" applyNumberFormat="1" applyFont="1" applyBorder="1" applyAlignment="1">
      <alignment vertical="top" wrapText="1"/>
      <protection/>
    </xf>
    <xf numFmtId="0" fontId="0" fillId="0" borderId="12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174" fontId="14" fillId="0" borderId="12" xfId="0" applyNumberFormat="1" applyFont="1" applyBorder="1" applyAlignment="1">
      <alignment vertical="justify" wrapText="1"/>
    </xf>
    <xf numFmtId="4" fontId="13" fillId="0" borderId="12" xfId="0" applyNumberFormat="1" applyFont="1" applyBorder="1" applyAlignment="1">
      <alignment horizontal="center" vertical="center"/>
    </xf>
    <xf numFmtId="0" fontId="35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12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NumberFormat="1" applyFont="1" applyFill="1" applyAlignment="1" applyProtection="1">
      <alignment/>
      <protection/>
    </xf>
    <xf numFmtId="0" fontId="56" fillId="0" borderId="0" xfId="0" applyFont="1" applyFill="1" applyAlignment="1">
      <alignment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36" fillId="25" borderId="12" xfId="0" applyNumberFormat="1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/>
      <protection/>
    </xf>
    <xf numFmtId="0" fontId="5" fillId="25" borderId="12" xfId="0" applyFont="1" applyFill="1" applyBorder="1" applyAlignment="1">
      <alignment horizontal="left" vertical="center" wrapText="1"/>
    </xf>
    <xf numFmtId="2" fontId="57" fillId="0" borderId="12" xfId="0" applyNumberFormat="1" applyFont="1" applyBorder="1" applyAlignment="1">
      <alignment vertical="top" wrapText="1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49" fontId="6" fillId="25" borderId="12" xfId="0" applyNumberFormat="1" applyFont="1" applyFill="1" applyBorder="1" applyAlignment="1">
      <alignment horizontal="center"/>
    </xf>
    <xf numFmtId="0" fontId="2" fillId="25" borderId="12" xfId="0" applyFont="1" applyFill="1" applyBorder="1" applyAlignment="1">
      <alignment horizontal="left" vertical="center" wrapText="1"/>
    </xf>
    <xf numFmtId="2" fontId="58" fillId="0" borderId="12" xfId="0" applyNumberFormat="1" applyFont="1" applyBorder="1" applyAlignment="1">
      <alignment vertical="top" wrapText="1"/>
    </xf>
    <xf numFmtId="2" fontId="59" fillId="0" borderId="12" xfId="0" applyNumberFormat="1" applyFont="1" applyBorder="1" applyAlignment="1">
      <alignment vertical="top" wrapText="1"/>
    </xf>
    <xf numFmtId="2" fontId="2" fillId="0" borderId="12" xfId="0" applyNumberFormat="1" applyFont="1" applyFill="1" applyBorder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2" fontId="58" fillId="0" borderId="12" xfId="0" applyNumberFormat="1" applyFont="1" applyBorder="1" applyAlignment="1" applyProtection="1">
      <alignment horizontal="right" vertical="center"/>
      <protection/>
    </xf>
    <xf numFmtId="172" fontId="0" fillId="0" borderId="0" xfId="91" applyFont="1" applyFill="1" applyAlignment="1" applyProtection="1">
      <alignment vertical="top"/>
      <protection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15" fillId="0" borderId="0" xfId="77" applyFont="1" applyAlignment="1">
      <alignment horizontal="left"/>
      <protection/>
    </xf>
    <xf numFmtId="0" fontId="0" fillId="0" borderId="0" xfId="0" applyAlignment="1">
      <alignment horizontal="left"/>
    </xf>
    <xf numFmtId="2" fontId="14" fillId="0" borderId="25" xfId="77" applyNumberFormat="1" applyFont="1" applyBorder="1" applyAlignment="1">
      <alignment horizontal="center" vertical="center" wrapText="1"/>
      <protection/>
    </xf>
    <xf numFmtId="2" fontId="14" fillId="0" borderId="26" xfId="77" applyNumberFormat="1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2" fontId="14" fillId="0" borderId="28" xfId="77" applyNumberFormat="1" applyFont="1" applyBorder="1" applyAlignment="1">
      <alignment horizontal="center" vertical="center" wrapText="1"/>
      <protection/>
    </xf>
    <xf numFmtId="2" fontId="14" fillId="0" borderId="29" xfId="77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14" fillId="0" borderId="16" xfId="77" applyFont="1" applyBorder="1" applyAlignment="1">
      <alignment horizontal="center" vertical="center" wrapText="1"/>
      <protection/>
    </xf>
    <xf numFmtId="0" fontId="14" fillId="0" borderId="31" xfId="77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2" fontId="14" fillId="0" borderId="16" xfId="77" applyNumberFormat="1" applyFont="1" applyBorder="1" applyAlignment="1">
      <alignment horizontal="center" vertical="center" wrapText="1"/>
      <protection/>
    </xf>
    <xf numFmtId="2" fontId="14" fillId="0" borderId="31" xfId="77" applyNumberFormat="1" applyFont="1" applyBorder="1" applyAlignment="1">
      <alignment horizontal="center" vertical="center" wrapText="1"/>
      <protection/>
    </xf>
    <xf numFmtId="0" fontId="13" fillId="0" borderId="15" xfId="77" applyFont="1" applyBorder="1" applyAlignment="1">
      <alignment horizontal="left" vertical="center" wrapText="1" shrinkToFit="1"/>
      <protection/>
    </xf>
    <xf numFmtId="0" fontId="13" fillId="0" borderId="15" xfId="77" applyFont="1" applyBorder="1" applyAlignment="1">
      <alignment horizontal="left"/>
      <protection/>
    </xf>
    <xf numFmtId="0" fontId="17" fillId="0" borderId="0" xfId="0" applyNumberFormat="1" applyFont="1" applyFill="1" applyAlignment="1" applyProtection="1">
      <alignment horizontal="right" vertical="center"/>
      <protection/>
    </xf>
    <xf numFmtId="0" fontId="42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77" applyFont="1" applyFill="1" applyAlignment="1">
      <alignment horizontal="left"/>
      <protection/>
    </xf>
    <xf numFmtId="0" fontId="0" fillId="0" borderId="0" xfId="0" applyFill="1" applyAlignment="1">
      <alignment horizontal="left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32" xfId="0" applyNumberFormat="1" applyFont="1" applyFill="1" applyBorder="1" applyAlignment="1" applyProtection="1">
      <alignment horizontal="center" vertical="center" wrapText="1"/>
      <protection/>
    </xf>
    <xf numFmtId="49" fontId="0" fillId="0" borderId="33" xfId="0" applyNumberFormat="1" applyFont="1" applyFill="1" applyBorder="1" applyAlignment="1" applyProtection="1">
      <alignment horizontal="center" vertical="center" wrapText="1"/>
      <protection/>
    </xf>
    <xf numFmtId="49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42" fillId="25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9" fillId="0" borderId="0" xfId="77" applyFont="1" applyAlignment="1">
      <alignment horizontal="left"/>
      <protection/>
    </xf>
    <xf numFmtId="0" fontId="2" fillId="0" borderId="0" xfId="0" applyFont="1" applyAlignment="1">
      <alignment horizontal="left"/>
    </xf>
    <xf numFmtId="49" fontId="38" fillId="0" borderId="0" xfId="0" applyNumberFormat="1" applyFont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2" fillId="25" borderId="11" xfId="0" applyFont="1" applyFill="1" applyBorder="1" applyAlignment="1">
      <alignment horizontal="center" vertical="center" wrapText="1"/>
    </xf>
    <xf numFmtId="0" fontId="42" fillId="25" borderId="37" xfId="0" applyFont="1" applyFill="1" applyBorder="1" applyAlignment="1">
      <alignment horizontal="center" vertical="center" wrapText="1"/>
    </xf>
    <xf numFmtId="0" fontId="42" fillId="25" borderId="14" xfId="0" applyFont="1" applyFill="1" applyBorder="1" applyAlignment="1">
      <alignment horizontal="center" vertical="center" wrapText="1"/>
    </xf>
    <xf numFmtId="0" fontId="42" fillId="25" borderId="38" xfId="0" applyFont="1" applyFill="1" applyBorder="1" applyAlignment="1">
      <alignment horizontal="center" vertical="center" wrapText="1"/>
    </xf>
    <xf numFmtId="0" fontId="42" fillId="25" borderId="39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24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77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80" applyFont="1" applyFill="1" applyAlignment="1">
      <alignment horizontal="center" wrapText="1"/>
      <protection/>
    </xf>
    <xf numFmtId="0" fontId="0" fillId="0" borderId="0" xfId="0" applyFont="1" applyAlignment="1">
      <alignment horizontal="center"/>
    </xf>
    <xf numFmtId="0" fontId="4" fillId="0" borderId="0" xfId="80" applyFont="1" applyFill="1" applyAlignment="1">
      <alignment horizontal="center" wrapText="1"/>
      <protection/>
    </xf>
    <xf numFmtId="0" fontId="4" fillId="0" borderId="0" xfId="80" applyFont="1" applyAlignment="1">
      <alignment horizontal="center" wrapText="1"/>
      <protection/>
    </xf>
    <xf numFmtId="0" fontId="0" fillId="0" borderId="39" xfId="80" applyFont="1" applyBorder="1" applyAlignment="1">
      <alignment horizontal="center" vertical="center" wrapText="1"/>
      <protection/>
    </xf>
    <xf numFmtId="0" fontId="0" fillId="0" borderId="33" xfId="80" applyFont="1" applyBorder="1" applyAlignment="1">
      <alignment horizontal="center" vertical="center" wrapText="1"/>
      <protection/>
    </xf>
    <xf numFmtId="0" fontId="0" fillId="0" borderId="3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" fillId="0" borderId="34" xfId="80" applyFont="1" applyFill="1" applyBorder="1" applyAlignment="1">
      <alignment horizontal="center"/>
      <protection/>
    </xf>
    <xf numFmtId="0" fontId="4" fillId="0" borderId="36" xfId="80" applyFont="1" applyFill="1" applyBorder="1" applyAlignment="1">
      <alignment horizontal="center"/>
      <protection/>
    </xf>
    <xf numFmtId="0" fontId="0" fillId="0" borderId="0" xfId="75" applyNumberFormat="1" applyFont="1" applyFill="1" applyBorder="1" applyAlignment="1" applyProtection="1">
      <alignment horizontal="left" vertical="center" wrapText="1"/>
      <protection/>
    </xf>
    <xf numFmtId="0" fontId="35" fillId="0" borderId="0" xfId="75" applyNumberFormat="1" applyFont="1" applyFill="1" applyAlignment="1" applyProtection="1">
      <alignment horizontal="left" vertical="top"/>
      <protection/>
    </xf>
    <xf numFmtId="0" fontId="2" fillId="0" borderId="0" xfId="75" applyNumberFormat="1" applyFont="1" applyFill="1" applyAlignment="1" applyProtection="1">
      <alignment horizontal="center" vertical="center" wrapText="1"/>
      <protection/>
    </xf>
    <xf numFmtId="0" fontId="3" fillId="0" borderId="0" xfId="75" applyFont="1" applyAlignment="1">
      <alignment horizontal="center" wrapText="1"/>
      <protection/>
    </xf>
    <xf numFmtId="0" fontId="3" fillId="0" borderId="0" xfId="75" applyFont="1" applyAlignment="1">
      <alignment horizontal="center"/>
      <protection/>
    </xf>
    <xf numFmtId="0" fontId="2" fillId="0" borderId="39" xfId="75" applyFont="1" applyBorder="1" applyAlignment="1">
      <alignment horizontal="center" vertical="center" wrapText="1"/>
      <protection/>
    </xf>
    <xf numFmtId="0" fontId="2" fillId="0" borderId="33" xfId="75" applyFont="1" applyBorder="1" applyAlignment="1">
      <alignment horizontal="center" vertical="center" wrapText="1"/>
      <protection/>
    </xf>
    <xf numFmtId="0" fontId="2" fillId="0" borderId="33" xfId="75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5" fillId="0" borderId="0" xfId="0" applyNumberFormat="1" applyFont="1" applyFill="1" applyAlignment="1" applyProtection="1">
      <alignment horizontal="left" vertical="top"/>
      <protection/>
    </xf>
    <xf numFmtId="0" fontId="55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/>
    </xf>
    <xf numFmtId="0" fontId="15" fillId="0" borderId="0" xfId="77" applyFont="1" applyBorder="1">
      <alignment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3" xfId="75"/>
    <cellStyle name="Обычный 3 2" xfId="76"/>
    <cellStyle name="Обычный 4" xfId="77"/>
    <cellStyle name="Обычный_14_dod 1 - 31.12.15" xfId="78"/>
    <cellStyle name="Обычный_DOD Сесія" xfId="79"/>
    <cellStyle name="Обычный_dod_2017" xfId="80"/>
    <cellStyle name="Обычный_dodатки_2015_вересень" xfId="81"/>
    <cellStyle name="Обычный_Сеся15.08.08" xfId="82"/>
    <cellStyle name="Плохой" xfId="83"/>
    <cellStyle name="Пояснение" xfId="84"/>
    <cellStyle name="Примечание" xfId="85"/>
    <cellStyle name="Percent" xfId="86"/>
    <cellStyle name="Процентный 2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view="pageBreakPreview" zoomScale="85" zoomScaleNormal="75" zoomScaleSheetLayoutView="85" workbookViewId="0" topLeftCell="F1">
      <selection activeCell="B3" sqref="B3:Q3"/>
    </sheetView>
  </sheetViews>
  <sheetFormatPr defaultColWidth="9.16015625" defaultRowHeight="12.75"/>
  <cols>
    <col min="1" max="1" width="3.83203125" style="1" hidden="1" customWidth="1"/>
    <col min="2" max="2" width="12.33203125" style="25" customWidth="1"/>
    <col min="3" max="4" width="11.66015625" style="25" customWidth="1"/>
    <col min="5" max="5" width="53.66015625" style="1" customWidth="1"/>
    <col min="6" max="6" width="16.33203125" style="1" customWidth="1"/>
    <col min="7" max="7" width="16.16015625" style="1" customWidth="1"/>
    <col min="8" max="8" width="14.83203125" style="1" customWidth="1"/>
    <col min="9" max="9" width="14.5" style="1" customWidth="1"/>
    <col min="10" max="10" width="14.16015625" style="1" customWidth="1"/>
    <col min="11" max="11" width="15" style="1" customWidth="1"/>
    <col min="12" max="12" width="14.16015625" style="1" customWidth="1"/>
    <col min="13" max="13" width="11.33203125" style="1" customWidth="1"/>
    <col min="14" max="14" width="12.66015625" style="1" customWidth="1"/>
    <col min="15" max="15" width="14.5" style="1" customWidth="1"/>
    <col min="16" max="16" width="14.66015625" style="1" customWidth="1"/>
    <col min="17" max="17" width="16.83203125" style="1" customWidth="1"/>
    <col min="18" max="16384" width="9.16015625" style="2" customWidth="1"/>
  </cols>
  <sheetData>
    <row r="1" spans="2:17" ht="1.5" customHeight="1"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</row>
    <row r="2" spans="6:18" ht="69" customHeight="1">
      <c r="F2" s="19"/>
      <c r="G2" s="19"/>
      <c r="H2" s="19"/>
      <c r="I2" s="19"/>
      <c r="J2" s="19"/>
      <c r="K2" s="19"/>
      <c r="L2" s="19"/>
      <c r="M2" s="284" t="s">
        <v>384</v>
      </c>
      <c r="N2" s="284"/>
      <c r="O2" s="284"/>
      <c r="P2" s="284"/>
      <c r="Q2" s="284"/>
      <c r="R2" s="7"/>
    </row>
    <row r="3" spans="2:17" ht="30" customHeight="1">
      <c r="B3" s="308" t="s">
        <v>30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</row>
    <row r="4" spans="2:17" ht="15.75" customHeight="1" hidden="1">
      <c r="B4" s="26"/>
      <c r="C4" s="27"/>
      <c r="D4" s="27"/>
      <c r="E4" s="20"/>
      <c r="F4" s="20"/>
      <c r="G4" s="20"/>
      <c r="H4" s="21"/>
      <c r="I4" s="20"/>
      <c r="J4" s="20"/>
      <c r="K4" s="41"/>
      <c r="L4" s="22"/>
      <c r="M4" s="22"/>
      <c r="N4" s="22"/>
      <c r="O4" s="22"/>
      <c r="P4" s="22"/>
      <c r="Q4" s="23" t="s">
        <v>72</v>
      </c>
    </row>
    <row r="5" spans="1:17" s="8" customFormat="1" ht="21.75" customHeight="1">
      <c r="A5" s="9"/>
      <c r="B5" s="309" t="s">
        <v>31</v>
      </c>
      <c r="C5" s="310" t="s">
        <v>23</v>
      </c>
      <c r="D5" s="309" t="s">
        <v>24</v>
      </c>
      <c r="E5" s="306" t="s">
        <v>74</v>
      </c>
      <c r="F5" s="306" t="s">
        <v>1</v>
      </c>
      <c r="G5" s="306"/>
      <c r="H5" s="306"/>
      <c r="I5" s="306"/>
      <c r="J5" s="306"/>
      <c r="K5" s="306" t="s">
        <v>2</v>
      </c>
      <c r="L5" s="306"/>
      <c r="M5" s="306"/>
      <c r="N5" s="306"/>
      <c r="O5" s="306"/>
      <c r="P5" s="306"/>
      <c r="Q5" s="306" t="s">
        <v>6</v>
      </c>
    </row>
    <row r="6" spans="1:17" s="8" customFormat="1" ht="16.5" customHeight="1">
      <c r="A6" s="11"/>
      <c r="B6" s="309"/>
      <c r="C6" s="311"/>
      <c r="D6" s="309"/>
      <c r="E6" s="306"/>
      <c r="F6" s="306" t="s">
        <v>0</v>
      </c>
      <c r="G6" s="282" t="s">
        <v>8</v>
      </c>
      <c r="H6" s="306" t="s">
        <v>9</v>
      </c>
      <c r="I6" s="306"/>
      <c r="J6" s="282" t="s">
        <v>10</v>
      </c>
      <c r="K6" s="306" t="s">
        <v>0</v>
      </c>
      <c r="L6" s="282" t="s">
        <v>8</v>
      </c>
      <c r="M6" s="306" t="s">
        <v>9</v>
      </c>
      <c r="N6" s="306"/>
      <c r="O6" s="282" t="s">
        <v>10</v>
      </c>
      <c r="P6" s="10" t="s">
        <v>9</v>
      </c>
      <c r="Q6" s="306"/>
    </row>
    <row r="7" spans="1:17" s="8" customFormat="1" ht="20.25" customHeight="1">
      <c r="A7" s="12"/>
      <c r="B7" s="309"/>
      <c r="C7" s="311"/>
      <c r="D7" s="309"/>
      <c r="E7" s="306"/>
      <c r="F7" s="306"/>
      <c r="G7" s="282"/>
      <c r="H7" s="306" t="s">
        <v>11</v>
      </c>
      <c r="I7" s="306" t="s">
        <v>12</v>
      </c>
      <c r="J7" s="282"/>
      <c r="K7" s="306"/>
      <c r="L7" s="282"/>
      <c r="M7" s="306" t="s">
        <v>11</v>
      </c>
      <c r="N7" s="306" t="s">
        <v>12</v>
      </c>
      <c r="O7" s="282"/>
      <c r="P7" s="306" t="s">
        <v>13</v>
      </c>
      <c r="Q7" s="306"/>
    </row>
    <row r="8" spans="1:17" s="8" customFormat="1" ht="51" customHeight="1">
      <c r="A8" s="13"/>
      <c r="B8" s="309"/>
      <c r="C8" s="312"/>
      <c r="D8" s="309"/>
      <c r="E8" s="306"/>
      <c r="F8" s="306"/>
      <c r="G8" s="282"/>
      <c r="H8" s="306"/>
      <c r="I8" s="306"/>
      <c r="J8" s="282"/>
      <c r="K8" s="306"/>
      <c r="L8" s="282"/>
      <c r="M8" s="306"/>
      <c r="N8" s="306"/>
      <c r="O8" s="282"/>
      <c r="P8" s="306"/>
      <c r="Q8" s="306"/>
    </row>
    <row r="9" spans="1:17" s="15" customFormat="1" ht="12.75" hidden="1">
      <c r="A9" s="14"/>
      <c r="B9" s="42" t="s">
        <v>76</v>
      </c>
      <c r="C9" s="42"/>
      <c r="D9" s="42"/>
      <c r="E9" s="43" t="s">
        <v>15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s="8" customFormat="1" ht="30.75" customHeight="1" hidden="1">
      <c r="A10" s="3"/>
      <c r="B10" s="42" t="s">
        <v>14</v>
      </c>
      <c r="C10" s="42"/>
      <c r="D10" s="42"/>
      <c r="E10" s="43" t="s">
        <v>15</v>
      </c>
      <c r="F10" s="34">
        <f aca="true" t="shared" si="0" ref="F10:Q10">F11+F12+F30+F31+F32+F34+F37+F38+F39+F40+F43+F44</f>
        <v>23511936</v>
      </c>
      <c r="G10" s="34">
        <f t="shared" si="0"/>
        <v>21166776</v>
      </c>
      <c r="H10" s="34">
        <f t="shared" si="0"/>
        <v>4631721</v>
      </c>
      <c r="I10" s="34">
        <f t="shared" si="0"/>
        <v>244576</v>
      </c>
      <c r="J10" s="34">
        <f t="shared" si="0"/>
        <v>2345160</v>
      </c>
      <c r="K10" s="34">
        <f t="shared" si="0"/>
        <v>6354650</v>
      </c>
      <c r="L10" s="34">
        <f t="shared" si="0"/>
        <v>467000</v>
      </c>
      <c r="M10" s="34">
        <f t="shared" si="0"/>
        <v>0</v>
      </c>
      <c r="N10" s="34">
        <f t="shared" si="0"/>
        <v>0</v>
      </c>
      <c r="O10" s="34">
        <f t="shared" si="0"/>
        <v>5887650</v>
      </c>
      <c r="P10" s="34">
        <f t="shared" si="0"/>
        <v>5887650</v>
      </c>
      <c r="Q10" s="34">
        <f t="shared" si="0"/>
        <v>29866586</v>
      </c>
    </row>
    <row r="11" spans="1:17" s="8" customFormat="1" ht="51" hidden="1">
      <c r="A11" s="3"/>
      <c r="B11" s="31" t="s">
        <v>56</v>
      </c>
      <c r="C11" s="31" t="s">
        <v>32</v>
      </c>
      <c r="D11" s="31" t="s">
        <v>33</v>
      </c>
      <c r="E11" s="36" t="s">
        <v>368</v>
      </c>
      <c r="F11" s="33">
        <f>G11+J11</f>
        <v>6338309</v>
      </c>
      <c r="G11" s="33">
        <f>6066311+12998+259000</f>
        <v>6338309</v>
      </c>
      <c r="H11" s="33">
        <f>4476721+155000</f>
        <v>4631721</v>
      </c>
      <c r="I11" s="33">
        <v>244576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4">
        <f>F11+K11</f>
        <v>6338309</v>
      </c>
    </row>
    <row r="12" spans="1:17" s="8" customFormat="1" ht="12.75" hidden="1">
      <c r="A12" s="3"/>
      <c r="B12" s="31" t="s">
        <v>34</v>
      </c>
      <c r="C12" s="31">
        <v>8600</v>
      </c>
      <c r="D12" s="31" t="s">
        <v>29</v>
      </c>
      <c r="E12" s="44" t="s">
        <v>7</v>
      </c>
      <c r="F12" s="33">
        <f>G12+H12+I12+J12</f>
        <v>182000</v>
      </c>
      <c r="G12" s="33">
        <f>162000+20000</f>
        <v>182000</v>
      </c>
      <c r="H12" s="33">
        <v>0</v>
      </c>
      <c r="I12" s="33">
        <v>0</v>
      </c>
      <c r="J12" s="33">
        <v>0</v>
      </c>
      <c r="K12" s="45">
        <f>L12+O12</f>
        <v>50000</v>
      </c>
      <c r="L12" s="33">
        <v>0</v>
      </c>
      <c r="M12" s="33">
        <v>0</v>
      </c>
      <c r="N12" s="33">
        <v>0</v>
      </c>
      <c r="O12" s="33">
        <v>50000</v>
      </c>
      <c r="P12" s="33">
        <v>50000</v>
      </c>
      <c r="Q12" s="34">
        <f>F12+K12</f>
        <v>232000</v>
      </c>
    </row>
    <row r="13" spans="1:17" s="8" customFormat="1" ht="12.75" hidden="1">
      <c r="A13" s="3"/>
      <c r="B13" s="31"/>
      <c r="C13" s="31"/>
      <c r="D13" s="31"/>
      <c r="E13" s="44"/>
      <c r="F13" s="33"/>
      <c r="G13" s="33"/>
      <c r="H13" s="33"/>
      <c r="I13" s="33"/>
      <c r="J13" s="33"/>
      <c r="K13" s="45"/>
      <c r="L13" s="33"/>
      <c r="M13" s="33"/>
      <c r="N13" s="33"/>
      <c r="O13" s="33"/>
      <c r="P13" s="33"/>
      <c r="Q13" s="34"/>
    </row>
    <row r="14" spans="1:17" s="8" customFormat="1" ht="12.75" hidden="1">
      <c r="A14" s="3"/>
      <c r="B14" s="42" t="s">
        <v>128</v>
      </c>
      <c r="C14" s="42"/>
      <c r="D14" s="42"/>
      <c r="E14" s="47" t="s">
        <v>65</v>
      </c>
      <c r="F14" s="34">
        <f aca="true" t="shared" si="1" ref="F14:Q14">F15+F16+F17+F18</f>
        <v>4569061.1</v>
      </c>
      <c r="G14" s="34">
        <f t="shared" si="1"/>
        <v>4569061.1</v>
      </c>
      <c r="H14" s="34">
        <f t="shared" si="1"/>
        <v>2896823.35</v>
      </c>
      <c r="I14" s="34">
        <f t="shared" si="1"/>
        <v>664615.57</v>
      </c>
      <c r="J14" s="34">
        <f t="shared" si="1"/>
        <v>0</v>
      </c>
      <c r="K14" s="34">
        <f t="shared" si="1"/>
        <v>0</v>
      </c>
      <c r="L14" s="34">
        <f t="shared" si="1"/>
        <v>0</v>
      </c>
      <c r="M14" s="34">
        <f t="shared" si="1"/>
        <v>0</v>
      </c>
      <c r="N14" s="34">
        <f t="shared" si="1"/>
        <v>0</v>
      </c>
      <c r="O14" s="34">
        <f t="shared" si="1"/>
        <v>0</v>
      </c>
      <c r="P14" s="34">
        <f t="shared" si="1"/>
        <v>0</v>
      </c>
      <c r="Q14" s="34">
        <f t="shared" si="1"/>
        <v>4569061.1</v>
      </c>
    </row>
    <row r="15" spans="1:17" s="8" customFormat="1" ht="38.25" hidden="1">
      <c r="A15" s="3"/>
      <c r="B15" s="42" t="s">
        <v>126</v>
      </c>
      <c r="C15" s="42"/>
      <c r="D15" s="42"/>
      <c r="E15" s="47" t="s">
        <v>127</v>
      </c>
      <c r="F15" s="33">
        <f>G15</f>
        <v>0</v>
      </c>
      <c r="G15" s="33">
        <v>0</v>
      </c>
      <c r="H15" s="34">
        <v>0</v>
      </c>
      <c r="I15" s="34">
        <v>0</v>
      </c>
      <c r="J15" s="34">
        <v>0</v>
      </c>
      <c r="K15" s="45">
        <f>L15+O15</f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4">
        <f>F15+K15</f>
        <v>0</v>
      </c>
    </row>
    <row r="16" spans="1:17" s="8" customFormat="1" ht="25.5" hidden="1">
      <c r="A16" s="3"/>
      <c r="B16" s="42" t="s">
        <v>131</v>
      </c>
      <c r="C16" s="42"/>
      <c r="D16" s="42"/>
      <c r="E16" s="47" t="s">
        <v>132</v>
      </c>
      <c r="F16" s="33">
        <f>G16+J16</f>
        <v>0</v>
      </c>
      <c r="G16" s="33">
        <v>0</v>
      </c>
      <c r="H16" s="33">
        <v>0</v>
      </c>
      <c r="I16" s="33">
        <v>0</v>
      </c>
      <c r="J16" s="33">
        <v>0</v>
      </c>
      <c r="K16" s="45">
        <f>L16+O16</f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4">
        <f>F16+K16</f>
        <v>0</v>
      </c>
    </row>
    <row r="17" spans="1:17" s="8" customFormat="1" ht="12.75" hidden="1">
      <c r="A17" s="3"/>
      <c r="B17" s="31" t="s">
        <v>38</v>
      </c>
      <c r="C17" s="31" t="s">
        <v>36</v>
      </c>
      <c r="D17" s="31" t="s">
        <v>37</v>
      </c>
      <c r="E17" s="44" t="s">
        <v>35</v>
      </c>
      <c r="F17" s="33">
        <f>G17</f>
        <v>4531783.1</v>
      </c>
      <c r="G17" s="33">
        <v>4531783.1</v>
      </c>
      <c r="H17" s="33">
        <v>2896823.35</v>
      </c>
      <c r="I17" s="33">
        <v>664615.57</v>
      </c>
      <c r="J17" s="33">
        <v>0</v>
      </c>
      <c r="K17" s="45">
        <f>L17+O17</f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4">
        <f>F17+K17</f>
        <v>4531783.1</v>
      </c>
    </row>
    <row r="18" spans="1:17" s="8" customFormat="1" ht="17.25" customHeight="1" hidden="1">
      <c r="A18" s="3"/>
      <c r="B18" s="31" t="s">
        <v>116</v>
      </c>
      <c r="C18" s="31" t="s">
        <v>123</v>
      </c>
      <c r="D18" s="31"/>
      <c r="E18" s="49" t="s">
        <v>115</v>
      </c>
      <c r="F18" s="33">
        <f aca="true" t="shared" si="2" ref="F18:P18">F19</f>
        <v>37278</v>
      </c>
      <c r="G18" s="33">
        <f t="shared" si="2"/>
        <v>37278</v>
      </c>
      <c r="H18" s="33">
        <f t="shared" si="2"/>
        <v>0</v>
      </c>
      <c r="I18" s="33">
        <f t="shared" si="2"/>
        <v>0</v>
      </c>
      <c r="J18" s="33">
        <f t="shared" si="2"/>
        <v>0</v>
      </c>
      <c r="K18" s="33">
        <f t="shared" si="2"/>
        <v>0</v>
      </c>
      <c r="L18" s="33">
        <f t="shared" si="2"/>
        <v>0</v>
      </c>
      <c r="M18" s="33">
        <f t="shared" si="2"/>
        <v>0</v>
      </c>
      <c r="N18" s="33">
        <f t="shared" si="2"/>
        <v>0</v>
      </c>
      <c r="O18" s="33">
        <f t="shared" si="2"/>
        <v>0</v>
      </c>
      <c r="P18" s="33">
        <f t="shared" si="2"/>
        <v>0</v>
      </c>
      <c r="Q18" s="34">
        <f>F18+K18</f>
        <v>37278</v>
      </c>
    </row>
    <row r="19" spans="1:17" s="8" customFormat="1" ht="55.5" customHeight="1" hidden="1">
      <c r="A19" s="3"/>
      <c r="B19" s="28" t="s">
        <v>117</v>
      </c>
      <c r="C19" s="31" t="s">
        <v>119</v>
      </c>
      <c r="D19" s="31" t="s">
        <v>118</v>
      </c>
      <c r="E19" s="44" t="s">
        <v>120</v>
      </c>
      <c r="F19" s="33">
        <f>G19+H19+I19+J19</f>
        <v>37278</v>
      </c>
      <c r="G19" s="33">
        <v>37278</v>
      </c>
      <c r="H19" s="33">
        <v>0</v>
      </c>
      <c r="I19" s="33">
        <v>0</v>
      </c>
      <c r="J19" s="33">
        <v>0</v>
      </c>
      <c r="K19" s="45">
        <f>L19+O19</f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4">
        <f>F19+K19</f>
        <v>37278</v>
      </c>
    </row>
    <row r="20" s="8" customFormat="1" ht="12.75" hidden="1">
      <c r="A20" s="3"/>
    </row>
    <row r="21" spans="1:17" s="8" customFormat="1" ht="12.75" hidden="1">
      <c r="A21" s="3"/>
      <c r="B21" s="28"/>
      <c r="C21" s="31"/>
      <c r="D21" s="31"/>
      <c r="E21" s="46"/>
      <c r="F21" s="33"/>
      <c r="G21" s="33"/>
      <c r="H21" s="33"/>
      <c r="I21" s="33"/>
      <c r="J21" s="33"/>
      <c r="K21" s="45">
        <f>L21+O21</f>
        <v>0</v>
      </c>
      <c r="L21" s="33"/>
      <c r="M21" s="33"/>
      <c r="N21" s="33"/>
      <c r="O21" s="33"/>
      <c r="P21" s="33"/>
      <c r="Q21" s="34"/>
    </row>
    <row r="22" spans="1:17" s="8" customFormat="1" ht="12.75" hidden="1">
      <c r="A22" s="3"/>
      <c r="B22" s="29" t="s">
        <v>129</v>
      </c>
      <c r="C22" s="42"/>
      <c r="D22" s="42"/>
      <c r="E22" s="47" t="s">
        <v>16</v>
      </c>
      <c r="F22" s="34">
        <f aca="true" t="shared" si="3" ref="F22:Q22">F26+F27+F25+F23</f>
        <v>201403.86000000002</v>
      </c>
      <c r="G22" s="34">
        <f t="shared" si="3"/>
        <v>201403.86000000002</v>
      </c>
      <c r="H22" s="34">
        <f t="shared" si="3"/>
        <v>147669.62</v>
      </c>
      <c r="I22" s="34">
        <f t="shared" si="3"/>
        <v>0</v>
      </c>
      <c r="J22" s="34">
        <f t="shared" si="3"/>
        <v>0</v>
      </c>
      <c r="K22" s="34">
        <f t="shared" si="3"/>
        <v>0</v>
      </c>
      <c r="L22" s="34">
        <f t="shared" si="3"/>
        <v>0</v>
      </c>
      <c r="M22" s="34">
        <f t="shared" si="3"/>
        <v>0</v>
      </c>
      <c r="N22" s="34">
        <f t="shared" si="3"/>
        <v>0</v>
      </c>
      <c r="O22" s="34">
        <f t="shared" si="3"/>
        <v>0</v>
      </c>
      <c r="P22" s="34">
        <f t="shared" si="3"/>
        <v>0</v>
      </c>
      <c r="Q22" s="34">
        <f t="shared" si="3"/>
        <v>201403.86000000002</v>
      </c>
    </row>
    <row r="23" spans="1:17" s="8" customFormat="1" ht="38.25" hidden="1">
      <c r="A23" s="3"/>
      <c r="B23" s="29" t="s">
        <v>130</v>
      </c>
      <c r="C23" s="42"/>
      <c r="D23" s="42"/>
      <c r="E23" s="47" t="s">
        <v>127</v>
      </c>
      <c r="F23" s="33">
        <f>G23</f>
        <v>0</v>
      </c>
      <c r="G23" s="33">
        <v>0</v>
      </c>
      <c r="H23" s="33">
        <v>0</v>
      </c>
      <c r="I23" s="33">
        <v>0</v>
      </c>
      <c r="J23" s="33">
        <v>0</v>
      </c>
      <c r="K23" s="45">
        <f>L23+O23</f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4">
        <f>F23+K23</f>
        <v>0</v>
      </c>
    </row>
    <row r="24" spans="1:17" s="8" customFormat="1" ht="12.75" hidden="1">
      <c r="A24" s="3"/>
      <c r="B24" s="29"/>
      <c r="C24" s="42"/>
      <c r="D24" s="42"/>
      <c r="E24" s="47"/>
      <c r="F24" s="33"/>
      <c r="G24" s="33"/>
      <c r="H24" s="33"/>
      <c r="I24" s="33"/>
      <c r="J24" s="33"/>
      <c r="K24" s="45"/>
      <c r="L24" s="33"/>
      <c r="M24" s="33"/>
      <c r="N24" s="33"/>
      <c r="O24" s="33"/>
      <c r="P24" s="33"/>
      <c r="Q24" s="34"/>
    </row>
    <row r="25" spans="1:17" s="8" customFormat="1" ht="12.75" hidden="1">
      <c r="A25" s="3"/>
      <c r="B25" s="28" t="s">
        <v>84</v>
      </c>
      <c r="C25" s="31" t="s">
        <v>83</v>
      </c>
      <c r="D25" s="31" t="s">
        <v>85</v>
      </c>
      <c r="E25" s="44" t="s">
        <v>86</v>
      </c>
      <c r="F25" s="33">
        <f>G25</f>
        <v>41598.94</v>
      </c>
      <c r="G25" s="33">
        <v>41598.94</v>
      </c>
      <c r="H25" s="33">
        <v>34098.6</v>
      </c>
      <c r="I25" s="33">
        <v>0</v>
      </c>
      <c r="J25" s="33">
        <v>0</v>
      </c>
      <c r="K25" s="45">
        <f>L25+O25</f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4">
        <f>F25+K25</f>
        <v>41598.94</v>
      </c>
    </row>
    <row r="26" spans="1:17" s="8" customFormat="1" ht="25.5" hidden="1">
      <c r="A26" s="3"/>
      <c r="B26" s="31" t="s">
        <v>45</v>
      </c>
      <c r="C26" s="31" t="s">
        <v>46</v>
      </c>
      <c r="D26" s="31" t="s">
        <v>79</v>
      </c>
      <c r="E26" s="36" t="s">
        <v>80</v>
      </c>
      <c r="F26" s="33">
        <f>G26</f>
        <v>138209.92</v>
      </c>
      <c r="G26" s="16">
        <v>138209.92</v>
      </c>
      <c r="H26" s="16">
        <v>113571.02</v>
      </c>
      <c r="I26" s="16">
        <v>0</v>
      </c>
      <c r="J26" s="16">
        <v>0</v>
      </c>
      <c r="K26" s="45">
        <f>L26+O26</f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34">
        <f>F26+K26</f>
        <v>138209.92</v>
      </c>
    </row>
    <row r="27" spans="1:17" s="8" customFormat="1" ht="12.75" hidden="1">
      <c r="A27" s="3"/>
      <c r="B27" s="31" t="s">
        <v>47</v>
      </c>
      <c r="C27" s="31" t="s">
        <v>48</v>
      </c>
      <c r="D27" s="31" t="s">
        <v>87</v>
      </c>
      <c r="E27" s="49" t="s">
        <v>4</v>
      </c>
      <c r="F27" s="33">
        <f>G27+H27+I27+J27</f>
        <v>21595</v>
      </c>
      <c r="G27" s="33">
        <v>21595</v>
      </c>
      <c r="H27" s="33">
        <v>0</v>
      </c>
      <c r="I27" s="33">
        <v>0</v>
      </c>
      <c r="J27" s="33">
        <v>0</v>
      </c>
      <c r="K27" s="45">
        <f>L27+O27</f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4">
        <f>F27+K27</f>
        <v>21595</v>
      </c>
    </row>
    <row r="28" spans="1:17" s="8" customFormat="1" ht="12.75" hidden="1">
      <c r="A28" s="3"/>
      <c r="B28" s="31"/>
      <c r="C28" s="31"/>
      <c r="D28" s="31"/>
      <c r="E28" s="44"/>
      <c r="F28" s="33"/>
      <c r="G28" s="33"/>
      <c r="H28" s="33"/>
      <c r="I28" s="33"/>
      <c r="J28" s="33"/>
      <c r="K28" s="45"/>
      <c r="L28" s="33"/>
      <c r="M28" s="33"/>
      <c r="N28" s="33"/>
      <c r="O28" s="33"/>
      <c r="P28" s="33"/>
      <c r="Q28" s="34"/>
    </row>
    <row r="29" spans="1:17" s="8" customFormat="1" ht="12.75" hidden="1">
      <c r="A29" s="3"/>
      <c r="B29" s="31"/>
      <c r="C29" s="31"/>
      <c r="D29" s="31"/>
      <c r="E29" s="44"/>
      <c r="F29" s="33"/>
      <c r="G29" s="33"/>
      <c r="H29" s="33"/>
      <c r="I29" s="33"/>
      <c r="J29" s="33"/>
      <c r="K29" s="45"/>
      <c r="L29" s="33"/>
      <c r="M29" s="33"/>
      <c r="N29" s="33"/>
      <c r="O29" s="33"/>
      <c r="P29" s="33"/>
      <c r="Q29" s="34"/>
    </row>
    <row r="30" spans="1:17" s="8" customFormat="1" ht="12.75" hidden="1">
      <c r="A30" s="3"/>
      <c r="B30" s="28" t="s">
        <v>41</v>
      </c>
      <c r="C30" s="31" t="s">
        <v>39</v>
      </c>
      <c r="D30" s="31" t="s">
        <v>40</v>
      </c>
      <c r="E30" s="44" t="s">
        <v>78</v>
      </c>
      <c r="F30" s="33">
        <f>G30+H30+I30+J30</f>
        <v>240000</v>
      </c>
      <c r="G30" s="33">
        <f>180000+60000</f>
        <v>240000</v>
      </c>
      <c r="H30" s="33">
        <v>0</v>
      </c>
      <c r="I30" s="33">
        <v>0</v>
      </c>
      <c r="J30" s="33">
        <v>0</v>
      </c>
      <c r="K30" s="45">
        <f>L30+O30</f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4">
        <f>F30+K30</f>
        <v>240000</v>
      </c>
    </row>
    <row r="31" spans="1:17" s="8" customFormat="1" ht="62.25" customHeight="1" hidden="1">
      <c r="A31" s="3"/>
      <c r="B31" s="28" t="s">
        <v>43</v>
      </c>
      <c r="C31" s="31" t="s">
        <v>42</v>
      </c>
      <c r="D31" s="31" t="s">
        <v>44</v>
      </c>
      <c r="E31" s="276" t="s">
        <v>77</v>
      </c>
      <c r="F31" s="33">
        <f>G31+H31+I31+J31</f>
        <v>150000</v>
      </c>
      <c r="G31" s="33">
        <v>150000</v>
      </c>
      <c r="H31" s="33">
        <v>0</v>
      </c>
      <c r="I31" s="33">
        <v>0</v>
      </c>
      <c r="J31" s="33">
        <v>0</v>
      </c>
      <c r="K31" s="45">
        <f>L31+O31</f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4">
        <f>F31+K31</f>
        <v>150000</v>
      </c>
    </row>
    <row r="32" spans="1:17" s="8" customFormat="1" ht="12.75" hidden="1">
      <c r="A32" s="3"/>
      <c r="B32" s="31" t="s">
        <v>91</v>
      </c>
      <c r="C32" s="31" t="s">
        <v>92</v>
      </c>
      <c r="D32" s="31"/>
      <c r="E32" s="277" t="s">
        <v>96</v>
      </c>
      <c r="F32" s="45">
        <f aca="true" t="shared" si="4" ref="F32:P32">F33</f>
        <v>0</v>
      </c>
      <c r="G32" s="45">
        <f t="shared" si="4"/>
        <v>0</v>
      </c>
      <c r="H32" s="45">
        <f t="shared" si="4"/>
        <v>0</v>
      </c>
      <c r="I32" s="45">
        <f t="shared" si="4"/>
        <v>0</v>
      </c>
      <c r="J32" s="45">
        <f t="shared" si="4"/>
        <v>0</v>
      </c>
      <c r="K32" s="45">
        <f t="shared" si="4"/>
        <v>114973</v>
      </c>
      <c r="L32" s="45">
        <f t="shared" si="4"/>
        <v>0</v>
      </c>
      <c r="M32" s="45">
        <f t="shared" si="4"/>
        <v>0</v>
      </c>
      <c r="N32" s="45">
        <f t="shared" si="4"/>
        <v>0</v>
      </c>
      <c r="O32" s="45">
        <f t="shared" si="4"/>
        <v>114973</v>
      </c>
      <c r="P32" s="45">
        <f t="shared" si="4"/>
        <v>114973</v>
      </c>
      <c r="Q32" s="34">
        <f>F32+K32</f>
        <v>114973</v>
      </c>
    </row>
    <row r="33" spans="1:17" s="8" customFormat="1" ht="12.75" hidden="1">
      <c r="A33" s="3"/>
      <c r="B33" s="31" t="s">
        <v>93</v>
      </c>
      <c r="C33" s="31" t="s">
        <v>94</v>
      </c>
      <c r="D33" s="31" t="s">
        <v>95</v>
      </c>
      <c r="E33" s="48" t="s">
        <v>97</v>
      </c>
      <c r="F33" s="33">
        <f>G33+H33+I33+J33</f>
        <v>0</v>
      </c>
      <c r="G33" s="33">
        <v>0</v>
      </c>
      <c r="H33" s="33">
        <v>0</v>
      </c>
      <c r="I33" s="33">
        <v>0</v>
      </c>
      <c r="J33" s="33">
        <v>0</v>
      </c>
      <c r="K33" s="45">
        <f>L33+O33</f>
        <v>114973</v>
      </c>
      <c r="L33" s="33">
        <v>0</v>
      </c>
      <c r="M33" s="33">
        <v>0</v>
      </c>
      <c r="N33" s="33">
        <v>0</v>
      </c>
      <c r="O33" s="33">
        <v>114973</v>
      </c>
      <c r="P33" s="33">
        <v>114973</v>
      </c>
      <c r="Q33" s="34">
        <f>F33+K33</f>
        <v>114973</v>
      </c>
    </row>
    <row r="34" spans="1:17" s="8" customFormat="1" ht="25.5" hidden="1">
      <c r="A34" s="3"/>
      <c r="B34" s="31" t="s">
        <v>100</v>
      </c>
      <c r="C34" s="31" t="s">
        <v>101</v>
      </c>
      <c r="D34" s="31"/>
      <c r="E34" s="48" t="s">
        <v>98</v>
      </c>
      <c r="F34" s="33">
        <f aca="true" t="shared" si="5" ref="F34:Q34">F36+F35</f>
        <v>75000</v>
      </c>
      <c r="G34" s="33">
        <f t="shared" si="5"/>
        <v>0</v>
      </c>
      <c r="H34" s="33">
        <f t="shared" si="5"/>
        <v>0</v>
      </c>
      <c r="I34" s="33">
        <f t="shared" si="5"/>
        <v>0</v>
      </c>
      <c r="J34" s="33">
        <f t="shared" si="5"/>
        <v>75000</v>
      </c>
      <c r="K34" s="33">
        <f t="shared" si="5"/>
        <v>0</v>
      </c>
      <c r="L34" s="33">
        <f t="shared" si="5"/>
        <v>0</v>
      </c>
      <c r="M34" s="33">
        <f t="shared" si="5"/>
        <v>0</v>
      </c>
      <c r="N34" s="33">
        <f t="shared" si="5"/>
        <v>0</v>
      </c>
      <c r="O34" s="33">
        <f t="shared" si="5"/>
        <v>0</v>
      </c>
      <c r="P34" s="33">
        <f t="shared" si="5"/>
        <v>0</v>
      </c>
      <c r="Q34" s="34">
        <f t="shared" si="5"/>
        <v>75000</v>
      </c>
    </row>
    <row r="35" spans="1:17" s="8" customFormat="1" ht="12.75" hidden="1">
      <c r="A35" s="3"/>
      <c r="B35" s="31" t="s">
        <v>124</v>
      </c>
      <c r="C35" s="31" t="s">
        <v>349</v>
      </c>
      <c r="D35" s="31" t="s">
        <v>95</v>
      </c>
      <c r="E35" s="276" t="s">
        <v>125</v>
      </c>
      <c r="F35" s="33">
        <f>G35+H35+I35+J35</f>
        <v>50000</v>
      </c>
      <c r="G35" s="33">
        <v>0</v>
      </c>
      <c r="H35" s="33">
        <f>H37</f>
        <v>0</v>
      </c>
      <c r="I35" s="33">
        <f>I37</f>
        <v>0</v>
      </c>
      <c r="J35" s="33">
        <v>50000</v>
      </c>
      <c r="K35" s="45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4">
        <f aca="true" t="shared" si="6" ref="Q35:Q40">F35+K35</f>
        <v>50000</v>
      </c>
    </row>
    <row r="36" spans="1:17" s="8" customFormat="1" ht="27.75" customHeight="1" hidden="1">
      <c r="A36" s="3"/>
      <c r="B36" s="31" t="s">
        <v>102</v>
      </c>
      <c r="C36" s="31" t="s">
        <v>103</v>
      </c>
      <c r="D36" s="31" t="s">
        <v>27</v>
      </c>
      <c r="E36" s="276" t="s">
        <v>99</v>
      </c>
      <c r="F36" s="33">
        <f>G36+H36+I36+J36</f>
        <v>25000</v>
      </c>
      <c r="G36" s="33">
        <v>0</v>
      </c>
      <c r="H36" s="33">
        <v>0</v>
      </c>
      <c r="I36" s="33">
        <v>0</v>
      </c>
      <c r="J36" s="33">
        <v>25000</v>
      </c>
      <c r="K36" s="45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4">
        <f t="shared" si="6"/>
        <v>25000</v>
      </c>
    </row>
    <row r="37" spans="1:17" s="8" customFormat="1" ht="12.75" hidden="1">
      <c r="A37" s="3"/>
      <c r="B37" s="24" t="s">
        <v>25</v>
      </c>
      <c r="C37" s="24" t="s">
        <v>26</v>
      </c>
      <c r="D37" s="24" t="s">
        <v>27</v>
      </c>
      <c r="E37" s="44" t="s">
        <v>52</v>
      </c>
      <c r="F37" s="33">
        <f>G37+H37+I37+J37</f>
        <v>3207787</v>
      </c>
      <c r="G37" s="33">
        <f>378600+521527+37500</f>
        <v>937627</v>
      </c>
      <c r="H37" s="33">
        <v>0</v>
      </c>
      <c r="I37" s="33">
        <v>0</v>
      </c>
      <c r="J37" s="33">
        <f>2200000+70160</f>
        <v>2270160</v>
      </c>
      <c r="K37" s="45">
        <f>L37+O37</f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4">
        <f t="shared" si="6"/>
        <v>3207787</v>
      </c>
    </row>
    <row r="38" spans="1:17" s="8" customFormat="1" ht="24.75" customHeight="1" hidden="1">
      <c r="A38" s="3"/>
      <c r="B38" s="31" t="s">
        <v>49</v>
      </c>
      <c r="C38" s="31" t="s">
        <v>50</v>
      </c>
      <c r="D38" s="31" t="s">
        <v>51</v>
      </c>
      <c r="E38" s="49" t="s">
        <v>81</v>
      </c>
      <c r="F38" s="33">
        <f>G38+H38+I38+J38</f>
        <v>0</v>
      </c>
      <c r="G38" s="33">
        <v>0</v>
      </c>
      <c r="H38" s="33">
        <v>0</v>
      </c>
      <c r="I38" s="33">
        <v>0</v>
      </c>
      <c r="J38" s="33">
        <v>0</v>
      </c>
      <c r="K38" s="45">
        <f>L38+O38</f>
        <v>3222677</v>
      </c>
      <c r="L38" s="33">
        <v>0</v>
      </c>
      <c r="M38" s="33">
        <v>0</v>
      </c>
      <c r="N38" s="33">
        <v>0</v>
      </c>
      <c r="O38" s="33">
        <f>P38</f>
        <v>3222677</v>
      </c>
      <c r="P38" s="33">
        <f>2085027+73650+1064000</f>
        <v>3222677</v>
      </c>
      <c r="Q38" s="34">
        <f t="shared" si="6"/>
        <v>3222677</v>
      </c>
    </row>
    <row r="39" spans="1:17" s="8" customFormat="1" ht="12.75" hidden="1">
      <c r="A39" s="3"/>
      <c r="B39" s="31" t="s">
        <v>55</v>
      </c>
      <c r="C39" s="31" t="s">
        <v>53</v>
      </c>
      <c r="D39" s="31" t="s">
        <v>54</v>
      </c>
      <c r="E39" s="44" t="s">
        <v>82</v>
      </c>
      <c r="F39" s="33">
        <f>G39+H39+I39+J39</f>
        <v>12773840</v>
      </c>
      <c r="G39" s="45">
        <v>12773840</v>
      </c>
      <c r="H39" s="45">
        <v>0</v>
      </c>
      <c r="I39" s="45">
        <v>0</v>
      </c>
      <c r="J39" s="45">
        <v>0</v>
      </c>
      <c r="K39" s="45">
        <f>L39+O39</f>
        <v>2500000</v>
      </c>
      <c r="L39" s="45">
        <v>0</v>
      </c>
      <c r="M39" s="45">
        <v>0</v>
      </c>
      <c r="N39" s="45">
        <v>0</v>
      </c>
      <c r="O39" s="45">
        <f>P39</f>
        <v>2500000</v>
      </c>
      <c r="P39" s="45">
        <v>2500000</v>
      </c>
      <c r="Q39" s="34">
        <f t="shared" si="6"/>
        <v>15273840</v>
      </c>
    </row>
    <row r="40" spans="1:17" s="8" customFormat="1" ht="17.25" customHeight="1" hidden="1">
      <c r="A40" s="3"/>
      <c r="B40" s="31" t="s">
        <v>57</v>
      </c>
      <c r="C40" s="31" t="s">
        <v>58</v>
      </c>
      <c r="D40" s="31" t="s">
        <v>59</v>
      </c>
      <c r="E40" s="44" t="s">
        <v>17</v>
      </c>
      <c r="F40" s="33">
        <f>G40</f>
        <v>0</v>
      </c>
      <c r="G40" s="45">
        <v>0</v>
      </c>
      <c r="H40" s="45">
        <v>0</v>
      </c>
      <c r="I40" s="45">
        <v>0</v>
      </c>
      <c r="J40" s="45">
        <v>0</v>
      </c>
      <c r="K40" s="45">
        <f>L40</f>
        <v>21000</v>
      </c>
      <c r="L40" s="45">
        <v>21000</v>
      </c>
      <c r="M40" s="45">
        <v>0</v>
      </c>
      <c r="N40" s="45">
        <v>0</v>
      </c>
      <c r="O40" s="45">
        <v>0</v>
      </c>
      <c r="P40" s="45">
        <v>0</v>
      </c>
      <c r="Q40" s="34">
        <f t="shared" si="6"/>
        <v>21000</v>
      </c>
    </row>
    <row r="41" spans="1:17" s="8" customFormat="1" ht="9" customHeight="1" hidden="1">
      <c r="A41" s="3"/>
      <c r="B41" s="31"/>
      <c r="C41" s="31"/>
      <c r="D41" s="31"/>
      <c r="E41" s="44"/>
      <c r="F41" s="33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34"/>
    </row>
    <row r="42" spans="1:17" s="8" customFormat="1" ht="9" customHeight="1" hidden="1">
      <c r="A42" s="3"/>
      <c r="B42" s="31"/>
      <c r="C42" s="31"/>
      <c r="D42" s="31"/>
      <c r="E42" s="44"/>
      <c r="F42" s="33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34"/>
    </row>
    <row r="43" spans="1:17" s="8" customFormat="1" ht="45.75" customHeight="1" hidden="1">
      <c r="A43" s="3"/>
      <c r="B43" s="31" t="s">
        <v>60</v>
      </c>
      <c r="C43" s="31" t="s">
        <v>61</v>
      </c>
      <c r="D43" s="31" t="s">
        <v>29</v>
      </c>
      <c r="E43" s="44" t="s">
        <v>18</v>
      </c>
      <c r="F43" s="33">
        <f>G43+H43+I43+J43</f>
        <v>0</v>
      </c>
      <c r="G43" s="33">
        <v>0</v>
      </c>
      <c r="H43" s="33">
        <v>0</v>
      </c>
      <c r="I43" s="33">
        <v>0</v>
      </c>
      <c r="J43" s="33">
        <v>0</v>
      </c>
      <c r="K43" s="45">
        <f>L43+O43</f>
        <v>446000</v>
      </c>
      <c r="L43" s="33">
        <v>446000</v>
      </c>
      <c r="M43" s="33">
        <v>0</v>
      </c>
      <c r="N43" s="33">
        <v>0</v>
      </c>
      <c r="O43" s="33">
        <v>0</v>
      </c>
      <c r="P43" s="33">
        <v>0</v>
      </c>
      <c r="Q43" s="34">
        <f>F43+K43</f>
        <v>446000</v>
      </c>
    </row>
    <row r="44" spans="1:17" s="8" customFormat="1" ht="153" customHeight="1" hidden="1">
      <c r="A44" s="3"/>
      <c r="B44" s="31" t="s">
        <v>88</v>
      </c>
      <c r="C44" s="31" t="s">
        <v>89</v>
      </c>
      <c r="D44" s="31"/>
      <c r="E44" s="44" t="s">
        <v>385</v>
      </c>
      <c r="F44" s="33">
        <f>F45</f>
        <v>545000</v>
      </c>
      <c r="G44" s="33">
        <f>G45</f>
        <v>545000</v>
      </c>
      <c r="H44" s="33">
        <f>H45</f>
        <v>0</v>
      </c>
      <c r="I44" s="33">
        <f>I45</f>
        <v>0</v>
      </c>
      <c r="J44" s="33">
        <f>J45</f>
        <v>0</v>
      </c>
      <c r="K44" s="45">
        <f>L44</f>
        <v>0</v>
      </c>
      <c r="L44" s="33">
        <f aca="true" t="shared" si="7" ref="L44:Q44">L45</f>
        <v>0</v>
      </c>
      <c r="M44" s="33">
        <f t="shared" si="7"/>
        <v>0</v>
      </c>
      <c r="N44" s="33">
        <f t="shared" si="7"/>
        <v>0</v>
      </c>
      <c r="O44" s="33">
        <f t="shared" si="7"/>
        <v>0</v>
      </c>
      <c r="P44" s="33">
        <f t="shared" si="7"/>
        <v>0</v>
      </c>
      <c r="Q44" s="34">
        <f t="shared" si="7"/>
        <v>545000</v>
      </c>
    </row>
    <row r="45" spans="1:17" s="8" customFormat="1" ht="49.5" customHeight="1" hidden="1">
      <c r="A45" s="3"/>
      <c r="B45" s="31" t="s">
        <v>62</v>
      </c>
      <c r="C45" s="31" t="s">
        <v>63</v>
      </c>
      <c r="D45" s="31" t="s">
        <v>64</v>
      </c>
      <c r="E45" s="44" t="s">
        <v>19</v>
      </c>
      <c r="F45" s="33">
        <f>G45+H45+I45+J45</f>
        <v>545000</v>
      </c>
      <c r="G45" s="33">
        <f>350000+75000+120000</f>
        <v>545000</v>
      </c>
      <c r="H45" s="33">
        <v>0</v>
      </c>
      <c r="I45" s="33">
        <v>0</v>
      </c>
      <c r="J45" s="33">
        <v>0</v>
      </c>
      <c r="K45" s="45">
        <f>L45</f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4">
        <f>F45+K45</f>
        <v>545000</v>
      </c>
    </row>
    <row r="46" spans="1:17" s="8" customFormat="1" ht="12.75" hidden="1">
      <c r="A46" s="3"/>
      <c r="B46" s="42"/>
      <c r="C46" s="31"/>
      <c r="D46" s="31"/>
      <c r="E46" s="46"/>
      <c r="F46" s="33"/>
      <c r="G46" s="33"/>
      <c r="H46" s="33"/>
      <c r="I46" s="33"/>
      <c r="J46" s="33"/>
      <c r="K46" s="45"/>
      <c r="L46" s="33"/>
      <c r="M46" s="33"/>
      <c r="N46" s="33"/>
      <c r="O46" s="33"/>
      <c r="P46" s="33"/>
      <c r="Q46" s="34"/>
    </row>
    <row r="47" spans="1:17" s="8" customFormat="1" ht="25.5" hidden="1">
      <c r="A47" s="3"/>
      <c r="B47" s="42" t="s">
        <v>350</v>
      </c>
      <c r="C47" s="42"/>
      <c r="D47" s="42"/>
      <c r="E47" s="47" t="s">
        <v>369</v>
      </c>
      <c r="F47" s="34">
        <f aca="true" t="shared" si="8" ref="F47:Q47">F48</f>
        <v>17247147.9</v>
      </c>
      <c r="G47" s="34">
        <f t="shared" si="8"/>
        <v>17247147.9</v>
      </c>
      <c r="H47" s="34">
        <f t="shared" si="8"/>
        <v>10329713.65</v>
      </c>
      <c r="I47" s="34">
        <f t="shared" si="8"/>
        <v>2422714.4299999997</v>
      </c>
      <c r="J47" s="34">
        <f t="shared" si="8"/>
        <v>0</v>
      </c>
      <c r="K47" s="34">
        <f t="shared" si="8"/>
        <v>910000</v>
      </c>
      <c r="L47" s="34">
        <f t="shared" si="8"/>
        <v>880000</v>
      </c>
      <c r="M47" s="34">
        <f t="shared" si="8"/>
        <v>0</v>
      </c>
      <c r="N47" s="34">
        <f t="shared" si="8"/>
        <v>0</v>
      </c>
      <c r="O47" s="34">
        <f t="shared" si="8"/>
        <v>30000</v>
      </c>
      <c r="P47" s="34">
        <f t="shared" si="8"/>
        <v>30000</v>
      </c>
      <c r="Q47" s="34">
        <f t="shared" si="8"/>
        <v>18157147.9</v>
      </c>
    </row>
    <row r="48" spans="1:17" s="8" customFormat="1" ht="25.5" hidden="1">
      <c r="A48" s="3"/>
      <c r="B48" s="42" t="s">
        <v>352</v>
      </c>
      <c r="C48" s="42"/>
      <c r="D48" s="42"/>
      <c r="E48" s="47" t="s">
        <v>351</v>
      </c>
      <c r="F48" s="34">
        <f aca="true" t="shared" si="9" ref="F48:Q48">F49+F51+F52+F53+F54</f>
        <v>17247147.9</v>
      </c>
      <c r="G48" s="34">
        <f t="shared" si="9"/>
        <v>17247147.9</v>
      </c>
      <c r="H48" s="34">
        <f t="shared" si="9"/>
        <v>10329713.65</v>
      </c>
      <c r="I48" s="34">
        <f t="shared" si="9"/>
        <v>2422714.4299999997</v>
      </c>
      <c r="J48" s="34">
        <f t="shared" si="9"/>
        <v>0</v>
      </c>
      <c r="K48" s="34">
        <f t="shared" si="9"/>
        <v>910000</v>
      </c>
      <c r="L48" s="34">
        <f t="shared" si="9"/>
        <v>880000</v>
      </c>
      <c r="M48" s="34">
        <f t="shared" si="9"/>
        <v>0</v>
      </c>
      <c r="N48" s="34">
        <f t="shared" si="9"/>
        <v>0</v>
      </c>
      <c r="O48" s="34">
        <f t="shared" si="9"/>
        <v>30000</v>
      </c>
      <c r="P48" s="34">
        <f t="shared" si="9"/>
        <v>30000</v>
      </c>
      <c r="Q48" s="34">
        <f t="shared" si="9"/>
        <v>18157147.9</v>
      </c>
    </row>
    <row r="49" spans="1:17" s="8" customFormat="1" ht="36.75" customHeight="1" hidden="1">
      <c r="A49" s="3"/>
      <c r="B49" s="42" t="s">
        <v>353</v>
      </c>
      <c r="C49" s="42" t="s">
        <v>67</v>
      </c>
      <c r="D49" s="42" t="s">
        <v>33</v>
      </c>
      <c r="E49" s="47" t="s">
        <v>374</v>
      </c>
      <c r="F49" s="33">
        <f>G49</f>
        <v>219083</v>
      </c>
      <c r="G49" s="33">
        <v>219083</v>
      </c>
      <c r="H49" s="34">
        <v>149000</v>
      </c>
      <c r="I49" s="34">
        <v>20000</v>
      </c>
      <c r="J49" s="34">
        <v>0</v>
      </c>
      <c r="K49" s="45">
        <f>L49+O49</f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4">
        <f>F49+K49</f>
        <v>219083</v>
      </c>
    </row>
    <row r="50" spans="1:17" s="8" customFormat="1" ht="27" customHeight="1" hidden="1">
      <c r="A50" s="3"/>
      <c r="B50" s="42" t="s">
        <v>370</v>
      </c>
      <c r="C50" s="42"/>
      <c r="D50" s="42"/>
      <c r="E50" s="47" t="s">
        <v>373</v>
      </c>
      <c r="F50" s="34">
        <f aca="true" t="shared" si="10" ref="F50:Q50">F51</f>
        <v>426100</v>
      </c>
      <c r="G50" s="34">
        <f t="shared" si="10"/>
        <v>426100</v>
      </c>
      <c r="H50" s="34">
        <f t="shared" si="10"/>
        <v>169000</v>
      </c>
      <c r="I50" s="34">
        <f t="shared" si="10"/>
        <v>26100</v>
      </c>
      <c r="J50" s="34">
        <f t="shared" si="10"/>
        <v>0</v>
      </c>
      <c r="K50" s="34">
        <f t="shared" si="10"/>
        <v>30000</v>
      </c>
      <c r="L50" s="34">
        <f t="shared" si="10"/>
        <v>0</v>
      </c>
      <c r="M50" s="34">
        <f t="shared" si="10"/>
        <v>0</v>
      </c>
      <c r="N50" s="34">
        <f t="shared" si="10"/>
        <v>0</v>
      </c>
      <c r="O50" s="34">
        <f t="shared" si="10"/>
        <v>30000</v>
      </c>
      <c r="P50" s="34">
        <f t="shared" si="10"/>
        <v>30000</v>
      </c>
      <c r="Q50" s="34">
        <f t="shared" si="10"/>
        <v>456100</v>
      </c>
    </row>
    <row r="51" spans="1:17" s="8" customFormat="1" ht="25.5" hidden="1">
      <c r="A51" s="3"/>
      <c r="B51" s="31" t="s">
        <v>354</v>
      </c>
      <c r="C51" s="31" t="s">
        <v>371</v>
      </c>
      <c r="D51" s="31" t="s">
        <v>372</v>
      </c>
      <c r="E51" s="44" t="s">
        <v>132</v>
      </c>
      <c r="F51" s="33">
        <f>G51+J51</f>
        <v>426100</v>
      </c>
      <c r="G51" s="33">
        <v>426100</v>
      </c>
      <c r="H51" s="33">
        <v>169000</v>
      </c>
      <c r="I51" s="33">
        <v>26100</v>
      </c>
      <c r="J51" s="33">
        <v>0</v>
      </c>
      <c r="K51" s="45">
        <f>L51+O51</f>
        <v>30000</v>
      </c>
      <c r="L51" s="33">
        <v>0</v>
      </c>
      <c r="M51" s="33">
        <v>0</v>
      </c>
      <c r="N51" s="33">
        <v>0</v>
      </c>
      <c r="O51" s="33">
        <f>P51</f>
        <v>30000</v>
      </c>
      <c r="P51" s="33">
        <v>30000</v>
      </c>
      <c r="Q51" s="34">
        <f>F51+K51</f>
        <v>456100</v>
      </c>
    </row>
    <row r="52" spans="1:17" s="8" customFormat="1" ht="19.5" customHeight="1" hidden="1">
      <c r="A52" s="3"/>
      <c r="B52" s="31" t="s">
        <v>355</v>
      </c>
      <c r="C52" s="31" t="s">
        <v>36</v>
      </c>
      <c r="D52" s="31" t="s">
        <v>37</v>
      </c>
      <c r="E52" s="44" t="s">
        <v>35</v>
      </c>
      <c r="F52" s="33">
        <f>G52</f>
        <v>15386662.9</v>
      </c>
      <c r="G52" s="33">
        <v>15386662.9</v>
      </c>
      <c r="H52" s="33">
        <v>9376713.65</v>
      </c>
      <c r="I52" s="33">
        <v>2016614.43</v>
      </c>
      <c r="J52" s="33">
        <v>0</v>
      </c>
      <c r="K52" s="45">
        <f>L52+O52</f>
        <v>880000</v>
      </c>
      <c r="L52" s="33">
        <v>880000</v>
      </c>
      <c r="M52" s="33">
        <v>0</v>
      </c>
      <c r="N52" s="33">
        <v>0</v>
      </c>
      <c r="O52" s="33">
        <v>0</v>
      </c>
      <c r="P52" s="33">
        <v>0</v>
      </c>
      <c r="Q52" s="34">
        <f>F52+K52</f>
        <v>16266662.9</v>
      </c>
    </row>
    <row r="53" spans="1:17" s="8" customFormat="1" ht="30.75" customHeight="1" hidden="1">
      <c r="A53" s="3"/>
      <c r="B53" s="31" t="s">
        <v>356</v>
      </c>
      <c r="C53" s="31" t="s">
        <v>40</v>
      </c>
      <c r="D53" s="31" t="s">
        <v>230</v>
      </c>
      <c r="E53" s="44" t="s">
        <v>232</v>
      </c>
      <c r="F53" s="33">
        <f>G53</f>
        <v>1202580</v>
      </c>
      <c r="G53" s="33">
        <v>1202580</v>
      </c>
      <c r="H53" s="33">
        <v>635000</v>
      </c>
      <c r="I53" s="33">
        <v>360000</v>
      </c>
      <c r="J53" s="33">
        <v>0</v>
      </c>
      <c r="K53" s="45">
        <f>L53+O53</f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4">
        <f>F53+K53</f>
        <v>1202580</v>
      </c>
    </row>
    <row r="54" spans="1:17" s="8" customFormat="1" ht="21" customHeight="1" hidden="1">
      <c r="A54" s="3"/>
      <c r="B54" s="31" t="s">
        <v>357</v>
      </c>
      <c r="C54" s="31" t="s">
        <v>123</v>
      </c>
      <c r="D54" s="31"/>
      <c r="E54" s="49" t="s">
        <v>115</v>
      </c>
      <c r="F54" s="33">
        <f aca="true" t="shared" si="11" ref="F54:P54">F55</f>
        <v>12722</v>
      </c>
      <c r="G54" s="33">
        <f t="shared" si="11"/>
        <v>12722</v>
      </c>
      <c r="H54" s="33">
        <f t="shared" si="11"/>
        <v>0</v>
      </c>
      <c r="I54" s="33">
        <f t="shared" si="11"/>
        <v>0</v>
      </c>
      <c r="J54" s="33">
        <f t="shared" si="11"/>
        <v>0</v>
      </c>
      <c r="K54" s="33">
        <f t="shared" si="11"/>
        <v>0</v>
      </c>
      <c r="L54" s="33">
        <f t="shared" si="11"/>
        <v>0</v>
      </c>
      <c r="M54" s="33">
        <f t="shared" si="11"/>
        <v>0</v>
      </c>
      <c r="N54" s="33">
        <f t="shared" si="11"/>
        <v>0</v>
      </c>
      <c r="O54" s="33">
        <f t="shared" si="11"/>
        <v>0</v>
      </c>
      <c r="P54" s="33">
        <f t="shared" si="11"/>
        <v>0</v>
      </c>
      <c r="Q54" s="34">
        <f>F54+K54</f>
        <v>12722</v>
      </c>
    </row>
    <row r="55" spans="1:17" s="8" customFormat="1" ht="51.75" customHeight="1" hidden="1">
      <c r="A55" s="3"/>
      <c r="B55" s="28" t="s">
        <v>358</v>
      </c>
      <c r="C55" s="31" t="s">
        <v>119</v>
      </c>
      <c r="D55" s="31" t="s">
        <v>118</v>
      </c>
      <c r="E55" s="44" t="s">
        <v>120</v>
      </c>
      <c r="F55" s="33">
        <f>G55+H55+I55+J55</f>
        <v>12722</v>
      </c>
      <c r="G55" s="33">
        <v>12722</v>
      </c>
      <c r="H55" s="33">
        <v>0</v>
      </c>
      <c r="I55" s="33">
        <v>0</v>
      </c>
      <c r="J55" s="33">
        <v>0</v>
      </c>
      <c r="K55" s="45">
        <f>L55+O55</f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4">
        <f>F55+K55</f>
        <v>12722</v>
      </c>
    </row>
    <row r="56" s="8" customFormat="1" ht="12.75" hidden="1">
      <c r="A56" s="3"/>
    </row>
    <row r="57" spans="1:17" s="8" customFormat="1" ht="1.5" customHeight="1" hidden="1">
      <c r="A57" s="3"/>
      <c r="B57" s="28"/>
      <c r="C57" s="31"/>
      <c r="D57" s="31"/>
      <c r="E57" s="46"/>
      <c r="F57" s="33"/>
      <c r="G57" s="33"/>
      <c r="H57" s="33"/>
      <c r="I57" s="33"/>
      <c r="J57" s="33"/>
      <c r="K57" s="45">
        <f>L57+O57</f>
        <v>0</v>
      </c>
      <c r="L57" s="33"/>
      <c r="M57" s="33"/>
      <c r="N57" s="33"/>
      <c r="O57" s="33"/>
      <c r="P57" s="33"/>
      <c r="Q57" s="34"/>
    </row>
    <row r="58" spans="1:17" s="8" customFormat="1" ht="25.5" hidden="1">
      <c r="A58" s="3"/>
      <c r="B58" s="29" t="s">
        <v>359</v>
      </c>
      <c r="C58" s="42"/>
      <c r="D58" s="42"/>
      <c r="E58" s="47" t="s">
        <v>360</v>
      </c>
      <c r="F58" s="34">
        <f aca="true" t="shared" si="12" ref="F58:Q58">F59</f>
        <v>3754463.14</v>
      </c>
      <c r="G58" s="34">
        <f t="shared" si="12"/>
        <v>3754463.14</v>
      </c>
      <c r="H58" s="34">
        <f t="shared" si="12"/>
        <v>2825902.38</v>
      </c>
      <c r="I58" s="34">
        <f t="shared" si="12"/>
        <v>103112</v>
      </c>
      <c r="J58" s="34">
        <f t="shared" si="12"/>
        <v>0</v>
      </c>
      <c r="K58" s="34">
        <f t="shared" si="12"/>
        <v>0</v>
      </c>
      <c r="L58" s="34">
        <f t="shared" si="12"/>
        <v>0</v>
      </c>
      <c r="M58" s="34">
        <f t="shared" si="12"/>
        <v>0</v>
      </c>
      <c r="N58" s="34">
        <f t="shared" si="12"/>
        <v>0</v>
      </c>
      <c r="O58" s="34">
        <f t="shared" si="12"/>
        <v>0</v>
      </c>
      <c r="P58" s="34">
        <f t="shared" si="12"/>
        <v>0</v>
      </c>
      <c r="Q58" s="34">
        <f t="shared" si="12"/>
        <v>3754463.14</v>
      </c>
    </row>
    <row r="59" spans="1:17" s="8" customFormat="1" ht="25.5" hidden="1">
      <c r="A59" s="3"/>
      <c r="B59" s="29" t="s">
        <v>361</v>
      </c>
      <c r="C59" s="42"/>
      <c r="D59" s="42"/>
      <c r="E59" s="47" t="s">
        <v>360</v>
      </c>
      <c r="F59" s="34">
        <f aca="true" t="shared" si="13" ref="F59:Q59">F60+F62+F63+F64+F65+F66</f>
        <v>3754463.14</v>
      </c>
      <c r="G59" s="34">
        <f t="shared" si="13"/>
        <v>3754463.14</v>
      </c>
      <c r="H59" s="34">
        <f t="shared" si="13"/>
        <v>2825902.38</v>
      </c>
      <c r="I59" s="34">
        <f t="shared" si="13"/>
        <v>103112</v>
      </c>
      <c r="J59" s="34">
        <f t="shared" si="13"/>
        <v>0</v>
      </c>
      <c r="K59" s="34">
        <f t="shared" si="13"/>
        <v>0</v>
      </c>
      <c r="L59" s="34">
        <f t="shared" si="13"/>
        <v>0</v>
      </c>
      <c r="M59" s="34">
        <f t="shared" si="13"/>
        <v>0</v>
      </c>
      <c r="N59" s="34">
        <f t="shared" si="13"/>
        <v>0</v>
      </c>
      <c r="O59" s="34">
        <f t="shared" si="13"/>
        <v>0</v>
      </c>
      <c r="P59" s="34">
        <f t="shared" si="13"/>
        <v>0</v>
      </c>
      <c r="Q59" s="34">
        <f t="shared" si="13"/>
        <v>3754463.14</v>
      </c>
    </row>
    <row r="60" spans="1:17" s="8" customFormat="1" ht="36.75" customHeight="1" hidden="1">
      <c r="A60" s="3"/>
      <c r="B60" s="28" t="s">
        <v>362</v>
      </c>
      <c r="C60" s="31" t="s">
        <v>67</v>
      </c>
      <c r="D60" s="31" t="s">
        <v>33</v>
      </c>
      <c r="E60" s="44" t="s">
        <v>374</v>
      </c>
      <c r="F60" s="33">
        <f>G60</f>
        <v>151717</v>
      </c>
      <c r="G60" s="33">
        <v>151717</v>
      </c>
      <c r="H60" s="33">
        <v>120000</v>
      </c>
      <c r="I60" s="33">
        <v>20000</v>
      </c>
      <c r="J60" s="33">
        <v>0</v>
      </c>
      <c r="K60" s="45">
        <f>L60+O60</f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4">
        <f>F60+K60</f>
        <v>151717</v>
      </c>
    </row>
    <row r="61" spans="1:17" s="8" customFormat="1" ht="12.75" hidden="1">
      <c r="A61" s="3"/>
      <c r="B61" s="29"/>
      <c r="C61" s="42"/>
      <c r="D61" s="42"/>
      <c r="E61" s="47"/>
      <c r="F61" s="33"/>
      <c r="G61" s="33"/>
      <c r="H61" s="33"/>
      <c r="I61" s="33"/>
      <c r="J61" s="33"/>
      <c r="K61" s="45"/>
      <c r="L61" s="33"/>
      <c r="M61" s="33"/>
      <c r="N61" s="33"/>
      <c r="O61" s="33"/>
      <c r="P61" s="33"/>
      <c r="Q61" s="34"/>
    </row>
    <row r="62" spans="1:17" s="8" customFormat="1" ht="12.75" hidden="1">
      <c r="A62" s="3"/>
      <c r="B62" s="28" t="s">
        <v>363</v>
      </c>
      <c r="C62" s="31" t="s">
        <v>83</v>
      </c>
      <c r="D62" s="31" t="s">
        <v>85</v>
      </c>
      <c r="E62" s="44" t="s">
        <v>86</v>
      </c>
      <c r="F62" s="33">
        <f>G62</f>
        <v>513647.06</v>
      </c>
      <c r="G62" s="33">
        <f>138047.06+375600</f>
        <v>513647.06</v>
      </c>
      <c r="H62" s="33">
        <f>113873.4+308000</f>
        <v>421873.4</v>
      </c>
      <c r="I62" s="33">
        <v>0</v>
      </c>
      <c r="J62" s="33">
        <v>0</v>
      </c>
      <c r="K62" s="45">
        <f>L62+O62</f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4">
        <f>F62+K62</f>
        <v>513647.06</v>
      </c>
    </row>
    <row r="63" spans="1:17" s="8" customFormat="1" ht="12.75" hidden="1">
      <c r="A63" s="3"/>
      <c r="B63" s="28" t="s">
        <v>364</v>
      </c>
      <c r="C63" s="31" t="s">
        <v>231</v>
      </c>
      <c r="D63" s="31" t="s">
        <v>85</v>
      </c>
      <c r="E63" s="278" t="s">
        <v>233</v>
      </c>
      <c r="F63" s="33">
        <f>G63</f>
        <v>21030</v>
      </c>
      <c r="G63" s="33">
        <v>21030</v>
      </c>
      <c r="H63" s="33">
        <v>17000</v>
      </c>
      <c r="I63" s="33">
        <v>0</v>
      </c>
      <c r="J63" s="33">
        <v>0</v>
      </c>
      <c r="K63" s="45">
        <f>L63+O63</f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4">
        <f>F63+K63</f>
        <v>21030</v>
      </c>
    </row>
    <row r="64" spans="1:17" s="8" customFormat="1" ht="25.5" hidden="1">
      <c r="A64" s="3"/>
      <c r="B64" s="31" t="s">
        <v>365</v>
      </c>
      <c r="C64" s="31" t="s">
        <v>46</v>
      </c>
      <c r="D64" s="31" t="s">
        <v>79</v>
      </c>
      <c r="E64" s="276" t="s">
        <v>80</v>
      </c>
      <c r="F64" s="33">
        <f>G64</f>
        <v>854714.0800000001</v>
      </c>
      <c r="G64" s="16">
        <f>492214.08+362500</f>
        <v>854714.0800000001</v>
      </c>
      <c r="H64" s="16">
        <f>376028.98+297500</f>
        <v>673528.98</v>
      </c>
      <c r="I64" s="16">
        <v>33112</v>
      </c>
      <c r="J64" s="16">
        <v>0</v>
      </c>
      <c r="K64" s="45">
        <f>L64+O64</f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34">
        <f>F64+K64</f>
        <v>854714.0800000001</v>
      </c>
    </row>
    <row r="65" spans="1:17" s="8" customFormat="1" ht="12.75" hidden="1">
      <c r="A65" s="3"/>
      <c r="B65" s="31" t="s">
        <v>366</v>
      </c>
      <c r="C65" s="31" t="s">
        <v>229</v>
      </c>
      <c r="D65" s="31" t="s">
        <v>230</v>
      </c>
      <c r="E65" s="276" t="s">
        <v>228</v>
      </c>
      <c r="F65" s="33">
        <f>G65</f>
        <v>1891450</v>
      </c>
      <c r="G65" s="16">
        <v>1891450</v>
      </c>
      <c r="H65" s="16">
        <v>1430000</v>
      </c>
      <c r="I65" s="16">
        <v>50000</v>
      </c>
      <c r="J65" s="16">
        <v>0</v>
      </c>
      <c r="K65" s="45">
        <f>L65+O65</f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34">
        <f>F65+K65</f>
        <v>1891450</v>
      </c>
    </row>
    <row r="66" spans="1:17" s="8" customFormat="1" ht="17.25" customHeight="1" hidden="1">
      <c r="A66" s="3"/>
      <c r="B66" s="31" t="s">
        <v>367</v>
      </c>
      <c r="C66" s="31" t="s">
        <v>48</v>
      </c>
      <c r="D66" s="31" t="s">
        <v>87</v>
      </c>
      <c r="E66" s="49" t="s">
        <v>4</v>
      </c>
      <c r="F66" s="33">
        <f>G66</f>
        <v>321905</v>
      </c>
      <c r="G66" s="33">
        <f>122405+199500</f>
        <v>321905</v>
      </c>
      <c r="H66" s="33">
        <v>163500</v>
      </c>
      <c r="I66" s="33">
        <v>0</v>
      </c>
      <c r="J66" s="33">
        <v>0</v>
      </c>
      <c r="K66" s="45">
        <f>L66+O66</f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4">
        <f>F66+K66</f>
        <v>321905</v>
      </c>
    </row>
    <row r="67" s="8" customFormat="1" ht="12.75" hidden="1">
      <c r="A67" s="3"/>
    </row>
    <row r="68" spans="1:17" s="37" customFormat="1" ht="24.75" customHeight="1" hidden="1">
      <c r="A68" s="35"/>
      <c r="B68" s="38" t="s">
        <v>104</v>
      </c>
      <c r="C68" s="38"/>
      <c r="D68" s="38"/>
      <c r="E68" s="50" t="s">
        <v>107</v>
      </c>
      <c r="F68" s="34"/>
      <c r="G68" s="34"/>
      <c r="H68" s="34"/>
      <c r="I68" s="34"/>
      <c r="J68" s="34"/>
      <c r="K68" s="51"/>
      <c r="L68" s="34"/>
      <c r="M68" s="34"/>
      <c r="N68" s="34"/>
      <c r="O68" s="34"/>
      <c r="P68" s="34"/>
      <c r="Q68" s="34">
        <f>F68+K68</f>
        <v>0</v>
      </c>
    </row>
    <row r="69" spans="1:17" s="37" customFormat="1" ht="27" customHeight="1" hidden="1">
      <c r="A69" s="35"/>
      <c r="B69" s="38" t="s">
        <v>105</v>
      </c>
      <c r="C69" s="38"/>
      <c r="D69" s="38"/>
      <c r="E69" s="50" t="s">
        <v>107</v>
      </c>
      <c r="F69" s="34">
        <f aca="true" t="shared" si="14" ref="F69:Q69">F70+F71+F73+F74+F75+F72+F76</f>
        <v>68985356</v>
      </c>
      <c r="G69" s="34">
        <f t="shared" si="14"/>
        <v>68952356</v>
      </c>
      <c r="H69" s="34">
        <f t="shared" si="14"/>
        <v>215156</v>
      </c>
      <c r="I69" s="34">
        <f t="shared" si="14"/>
        <v>10900</v>
      </c>
      <c r="J69" s="34">
        <f t="shared" si="14"/>
        <v>0</v>
      </c>
      <c r="K69" s="34">
        <f t="shared" si="14"/>
        <v>0</v>
      </c>
      <c r="L69" s="34">
        <f t="shared" si="14"/>
        <v>0</v>
      </c>
      <c r="M69" s="34">
        <f t="shared" si="14"/>
        <v>0</v>
      </c>
      <c r="N69" s="34">
        <f t="shared" si="14"/>
        <v>0</v>
      </c>
      <c r="O69" s="34">
        <f t="shared" si="14"/>
        <v>0</v>
      </c>
      <c r="P69" s="34">
        <f t="shared" si="14"/>
        <v>0</v>
      </c>
      <c r="Q69" s="34">
        <f t="shared" si="14"/>
        <v>68985356</v>
      </c>
    </row>
    <row r="70" spans="1:17" s="8" customFormat="1" ht="70.5" customHeight="1" hidden="1">
      <c r="A70" s="3"/>
      <c r="B70" s="24" t="s">
        <v>106</v>
      </c>
      <c r="C70" s="24" t="s">
        <v>32</v>
      </c>
      <c r="D70" s="24" t="s">
        <v>33</v>
      </c>
      <c r="E70" s="49" t="s">
        <v>75</v>
      </c>
      <c r="F70" s="33">
        <f>G70+J70</f>
        <v>230056</v>
      </c>
      <c r="G70" s="33">
        <f>140000+90056</f>
        <v>230056</v>
      </c>
      <c r="H70" s="33">
        <f>125100+90056</f>
        <v>215156</v>
      </c>
      <c r="I70" s="33">
        <v>10900</v>
      </c>
      <c r="J70" s="33">
        <v>0</v>
      </c>
      <c r="K70" s="45">
        <f aca="true" t="shared" si="15" ref="K70:K76">L70</f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4">
        <f aca="true" t="shared" si="16" ref="Q70:Q76">F70+K70</f>
        <v>230056</v>
      </c>
    </row>
    <row r="71" spans="1:17" s="8" customFormat="1" ht="57" customHeight="1" hidden="1">
      <c r="A71" s="3"/>
      <c r="B71" s="31" t="s">
        <v>108</v>
      </c>
      <c r="C71" s="31" t="s">
        <v>71</v>
      </c>
      <c r="D71" s="31" t="s">
        <v>67</v>
      </c>
      <c r="E71" s="32" t="s">
        <v>70</v>
      </c>
      <c r="F71" s="33">
        <f>G71+H71+I71+J71</f>
        <v>8341500</v>
      </c>
      <c r="G71" s="33">
        <v>8341500</v>
      </c>
      <c r="H71" s="33">
        <v>0</v>
      </c>
      <c r="I71" s="33">
        <v>0</v>
      </c>
      <c r="J71" s="33">
        <v>0</v>
      </c>
      <c r="K71" s="45">
        <f t="shared" si="15"/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4">
        <f t="shared" si="16"/>
        <v>8341500</v>
      </c>
    </row>
    <row r="72" spans="1:17" s="8" customFormat="1" ht="42.75" customHeight="1" hidden="1">
      <c r="A72" s="3"/>
      <c r="B72" s="31" t="s">
        <v>114</v>
      </c>
      <c r="C72" s="31" t="s">
        <v>112</v>
      </c>
      <c r="D72" s="31" t="s">
        <v>67</v>
      </c>
      <c r="E72" s="40" t="s">
        <v>113</v>
      </c>
      <c r="F72" s="33">
        <f>G72</f>
        <v>42000</v>
      </c>
      <c r="G72" s="33">
        <f>12000+30000</f>
        <v>42000</v>
      </c>
      <c r="H72" s="33">
        <v>0</v>
      </c>
      <c r="I72" s="33">
        <v>0</v>
      </c>
      <c r="J72" s="33">
        <v>0</v>
      </c>
      <c r="K72" s="45">
        <f t="shared" si="15"/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4">
        <f t="shared" si="16"/>
        <v>42000</v>
      </c>
    </row>
    <row r="73" spans="1:17" s="8" customFormat="1" ht="27.75" customHeight="1" hidden="1">
      <c r="A73" s="3"/>
      <c r="B73" s="31" t="s">
        <v>109</v>
      </c>
      <c r="C73" s="31" t="s">
        <v>66</v>
      </c>
      <c r="D73" s="31" t="s">
        <v>67</v>
      </c>
      <c r="E73" s="44" t="s">
        <v>21</v>
      </c>
      <c r="F73" s="33">
        <f>G73+J73</f>
        <v>37448100</v>
      </c>
      <c r="G73" s="33">
        <v>37448100</v>
      </c>
      <c r="H73" s="33">
        <v>0</v>
      </c>
      <c r="I73" s="33">
        <v>0</v>
      </c>
      <c r="J73" s="33">
        <v>0</v>
      </c>
      <c r="K73" s="45">
        <f t="shared" si="15"/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4">
        <f t="shared" si="16"/>
        <v>37448100</v>
      </c>
    </row>
    <row r="74" spans="1:17" s="8" customFormat="1" ht="24" customHeight="1" hidden="1">
      <c r="A74" s="3"/>
      <c r="B74" s="31" t="s">
        <v>110</v>
      </c>
      <c r="C74" s="31" t="s">
        <v>68</v>
      </c>
      <c r="D74" s="31" t="s">
        <v>67</v>
      </c>
      <c r="E74" s="44" t="s">
        <v>22</v>
      </c>
      <c r="F74" s="33">
        <f>G74+J74</f>
        <v>22512700</v>
      </c>
      <c r="G74" s="33">
        <v>22512700</v>
      </c>
      <c r="H74" s="33">
        <v>0</v>
      </c>
      <c r="I74" s="33">
        <v>0</v>
      </c>
      <c r="J74" s="33">
        <v>0</v>
      </c>
      <c r="K74" s="45">
        <f t="shared" si="15"/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4">
        <f t="shared" si="16"/>
        <v>22512700</v>
      </c>
    </row>
    <row r="75" spans="1:17" s="8" customFormat="1" ht="21.75" customHeight="1">
      <c r="A75" s="3"/>
      <c r="B75" s="31" t="s">
        <v>111</v>
      </c>
      <c r="C75" s="31" t="s">
        <v>69</v>
      </c>
      <c r="D75" s="31" t="s">
        <v>67</v>
      </c>
      <c r="E75" s="44" t="s">
        <v>73</v>
      </c>
      <c r="F75" s="33">
        <f>G75+J75</f>
        <v>378000</v>
      </c>
      <c r="G75" s="33">
        <v>378000</v>
      </c>
      <c r="H75" s="33">
        <v>0</v>
      </c>
      <c r="I75" s="33">
        <v>0</v>
      </c>
      <c r="J75" s="33">
        <v>0</v>
      </c>
      <c r="K75" s="45">
        <f t="shared" si="15"/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4">
        <f t="shared" si="16"/>
        <v>378000</v>
      </c>
    </row>
    <row r="76" spans="1:17" s="37" customFormat="1" ht="18.75" customHeight="1" hidden="1">
      <c r="A76" s="35"/>
      <c r="B76" s="38" t="s">
        <v>121</v>
      </c>
      <c r="C76" s="38" t="s">
        <v>28</v>
      </c>
      <c r="D76" s="38" t="s">
        <v>29</v>
      </c>
      <c r="E76" s="50" t="s">
        <v>20</v>
      </c>
      <c r="F76" s="34">
        <v>33000</v>
      </c>
      <c r="G76" s="34">
        <v>0</v>
      </c>
      <c r="H76" s="34">
        <v>0</v>
      </c>
      <c r="I76" s="34">
        <v>0</v>
      </c>
      <c r="J76" s="34">
        <v>0</v>
      </c>
      <c r="K76" s="51">
        <f t="shared" si="15"/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f t="shared" si="16"/>
        <v>33000</v>
      </c>
    </row>
    <row r="77" spans="1:17" s="8" customFormat="1" ht="18.75" customHeight="1">
      <c r="A77" s="3"/>
      <c r="B77" s="31"/>
      <c r="C77" s="31"/>
      <c r="D77" s="31"/>
      <c r="E77" s="50" t="s">
        <v>5</v>
      </c>
      <c r="F77" s="34">
        <v>378000</v>
      </c>
      <c r="G77" s="34">
        <v>378000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378000</v>
      </c>
    </row>
    <row r="78" ht="15" hidden="1"/>
    <row r="79" spans="2:17" ht="15" customHeight="1" hidden="1"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</row>
    <row r="80" spans="2:17" ht="16.5" customHeight="1" hidden="1"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</row>
    <row r="81" ht="15" hidden="1"/>
    <row r="82" spans="5:11" ht="44.25" customHeight="1">
      <c r="E82" s="304" t="s">
        <v>382</v>
      </c>
      <c r="F82" s="305"/>
      <c r="G82" s="52"/>
      <c r="H82" s="53"/>
      <c r="I82" s="93"/>
      <c r="J82" s="53"/>
      <c r="K82" s="39" t="s">
        <v>383</v>
      </c>
    </row>
  </sheetData>
  <sheetProtection/>
  <mergeCells count="26">
    <mergeCell ref="D5:D8"/>
    <mergeCell ref="B79:Q79"/>
    <mergeCell ref="B80:Q80"/>
    <mergeCell ref="O6:O8"/>
    <mergeCell ref="H7:H8"/>
    <mergeCell ref="I7:I8"/>
    <mergeCell ref="M7:M8"/>
    <mergeCell ref="N7:N8"/>
    <mergeCell ref="P7:P8"/>
    <mergeCell ref="G6:G8"/>
    <mergeCell ref="K5:P5"/>
    <mergeCell ref="Q5:Q8"/>
    <mergeCell ref="H6:I6"/>
    <mergeCell ref="J6:J8"/>
    <mergeCell ref="K6:K8"/>
    <mergeCell ref="L6:L8"/>
    <mergeCell ref="E82:F82"/>
    <mergeCell ref="F6:F8"/>
    <mergeCell ref="M6:N6"/>
    <mergeCell ref="B1:Q1"/>
    <mergeCell ref="M2:Q2"/>
    <mergeCell ref="B3:Q3"/>
    <mergeCell ref="B5:B8"/>
    <mergeCell ref="C5:C8"/>
    <mergeCell ref="E5:E8"/>
    <mergeCell ref="F5:J5"/>
  </mergeCells>
  <printOptions horizontalCentered="1"/>
  <pageMargins left="0.1968503937007874" right="0.1968503937007874" top="0.3937007874015748" bottom="0.3937007874015748" header="0.5118110236220472" footer="0.31496062992125984"/>
  <pageSetup fitToHeight="0" horizontalDpi="300" verticalDpi="300" orientation="landscape" paperSize="9" scale="6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G123"/>
  <sheetViews>
    <sheetView view="pageBreakPreview" zoomScaleSheetLayoutView="100" workbookViewId="0" topLeftCell="A1">
      <selection activeCell="A2" sqref="A2:F2"/>
    </sheetView>
  </sheetViews>
  <sheetFormatPr defaultColWidth="9.33203125" defaultRowHeight="12.75"/>
  <cols>
    <col min="1" max="1" width="15.66015625" style="91" customWidth="1"/>
    <col min="2" max="2" width="55" style="18" customWidth="1"/>
    <col min="3" max="3" width="17" style="18" customWidth="1"/>
    <col min="4" max="4" width="15.33203125" style="4" customWidth="1"/>
    <col min="5" max="5" width="17.66015625" style="4" customWidth="1"/>
    <col min="6" max="6" width="0.82421875" style="4" hidden="1" customWidth="1"/>
    <col min="7" max="7" width="17.16015625" style="4" customWidth="1"/>
    <col min="8" max="16384" width="9.33203125" style="4" customWidth="1"/>
  </cols>
  <sheetData>
    <row r="1" spans="1:7" ht="70.5" customHeight="1">
      <c r="A1" s="55"/>
      <c r="B1" s="17"/>
      <c r="C1" s="17"/>
      <c r="D1" s="284" t="s">
        <v>379</v>
      </c>
      <c r="E1" s="284"/>
      <c r="F1" s="284"/>
      <c r="G1" s="284"/>
    </row>
    <row r="2" spans="1:7" ht="18" customHeight="1">
      <c r="A2" s="285" t="s">
        <v>133</v>
      </c>
      <c r="B2" s="286"/>
      <c r="C2" s="286"/>
      <c r="D2" s="286"/>
      <c r="E2" s="286"/>
      <c r="F2" s="286"/>
      <c r="G2" s="3"/>
    </row>
    <row r="3" spans="1:7" s="54" customFormat="1" ht="12.75">
      <c r="A3" s="55"/>
      <c r="B3" s="30"/>
      <c r="C3" s="30"/>
      <c r="D3" s="56"/>
      <c r="E3" s="56"/>
      <c r="F3" s="56"/>
      <c r="G3" s="57" t="s">
        <v>72</v>
      </c>
    </row>
    <row r="4" spans="1:7" s="54" customFormat="1" ht="12.75" hidden="1">
      <c r="A4" s="55"/>
      <c r="B4" s="30"/>
      <c r="C4" s="30"/>
      <c r="D4" s="56"/>
      <c r="E4" s="56"/>
      <c r="F4" s="56"/>
      <c r="G4" s="56"/>
    </row>
    <row r="5" spans="1:7" s="54" customFormat="1" ht="12.75" hidden="1">
      <c r="A5" s="55"/>
      <c r="B5" s="30"/>
      <c r="C5" s="30"/>
      <c r="D5" s="56"/>
      <c r="E5" s="56"/>
      <c r="F5" s="56"/>
      <c r="G5" s="56"/>
    </row>
    <row r="6" spans="1:7" s="54" customFormat="1" ht="15.75" customHeight="1">
      <c r="A6" s="295" t="s">
        <v>122</v>
      </c>
      <c r="B6" s="295" t="s">
        <v>134</v>
      </c>
      <c r="C6" s="295" t="s">
        <v>0</v>
      </c>
      <c r="D6" s="298" t="s">
        <v>1</v>
      </c>
      <c r="E6" s="289" t="s">
        <v>2</v>
      </c>
      <c r="F6" s="290"/>
      <c r="G6" s="291"/>
    </row>
    <row r="7" spans="1:7" s="54" customFormat="1" ht="18.75" customHeight="1">
      <c r="A7" s="296"/>
      <c r="B7" s="296"/>
      <c r="C7" s="296"/>
      <c r="D7" s="299"/>
      <c r="E7" s="292"/>
      <c r="F7" s="293"/>
      <c r="G7" s="294"/>
    </row>
    <row r="8" spans="1:7" s="54" customFormat="1" ht="24" customHeight="1">
      <c r="A8" s="297"/>
      <c r="B8" s="297"/>
      <c r="C8" s="297"/>
      <c r="D8" s="297"/>
      <c r="E8" s="58" t="s">
        <v>0</v>
      </c>
      <c r="F8" s="58"/>
      <c r="G8" s="58" t="s">
        <v>135</v>
      </c>
    </row>
    <row r="9" spans="1:7" s="54" customFormat="1" ht="12.75">
      <c r="A9" s="59">
        <v>1</v>
      </c>
      <c r="B9" s="60">
        <v>2</v>
      </c>
      <c r="C9" s="60">
        <v>3</v>
      </c>
      <c r="D9" s="59">
        <v>3</v>
      </c>
      <c r="E9" s="59">
        <v>4</v>
      </c>
      <c r="F9" s="59">
        <v>5</v>
      </c>
      <c r="G9" s="59">
        <v>6</v>
      </c>
    </row>
    <row r="10" spans="1:7" s="54" customFormat="1" ht="12.75" hidden="1">
      <c r="A10" s="59"/>
      <c r="B10" s="60"/>
      <c r="C10" s="60"/>
      <c r="D10" s="59"/>
      <c r="E10" s="59"/>
      <c r="F10" s="59"/>
      <c r="G10" s="59"/>
    </row>
    <row r="11" spans="1:7" s="54" customFormat="1" ht="12.75" hidden="1">
      <c r="A11" s="61">
        <v>10000000</v>
      </c>
      <c r="B11" s="62" t="s">
        <v>136</v>
      </c>
      <c r="C11" s="63">
        <f aca="true" t="shared" si="0" ref="C11:C42">D11+E11</f>
        <v>48978100</v>
      </c>
      <c r="D11" s="64">
        <f>D12+D22+D25+D27+D47</f>
        <v>48978100</v>
      </c>
      <c r="E11" s="64">
        <f>E12+E22+E25+E27+E47</f>
        <v>0</v>
      </c>
      <c r="F11" s="64" t="e">
        <f>F12+#REF!+#REF!+F33+F50+#REF!+F70</f>
        <v>#REF!</v>
      </c>
      <c r="G11" s="64">
        <f>G12+G22+G25+G27+G47</f>
        <v>0</v>
      </c>
    </row>
    <row r="12" spans="1:7" s="54" customFormat="1" ht="25.5" hidden="1">
      <c r="A12" s="65">
        <v>11000000</v>
      </c>
      <c r="B12" s="66" t="s">
        <v>137</v>
      </c>
      <c r="C12" s="63">
        <f t="shared" si="0"/>
        <v>28304000</v>
      </c>
      <c r="D12" s="58">
        <f>D19+D13</f>
        <v>28304000</v>
      </c>
      <c r="E12" s="67">
        <f>E19</f>
        <v>0</v>
      </c>
      <c r="F12" s="58"/>
      <c r="G12" s="67">
        <f>G19</f>
        <v>0</v>
      </c>
    </row>
    <row r="13" spans="1:7" s="54" customFormat="1" ht="12.75" hidden="1">
      <c r="A13" s="68">
        <v>11010000</v>
      </c>
      <c r="B13" s="69" t="s">
        <v>138</v>
      </c>
      <c r="C13" s="63">
        <f t="shared" si="0"/>
        <v>28300000</v>
      </c>
      <c r="D13" s="70">
        <f>SUM(D14:D18)</f>
        <v>28300000</v>
      </c>
      <c r="E13" s="67">
        <f>SUM(E14:E18)</f>
        <v>0</v>
      </c>
      <c r="F13" s="67">
        <f>SUM(F14:F18)</f>
        <v>550000</v>
      </c>
      <c r="G13" s="67">
        <f>SUM(G14:G18)</f>
        <v>0</v>
      </c>
    </row>
    <row r="14" spans="1:7" s="54" customFormat="1" ht="38.25" hidden="1">
      <c r="A14" s="71">
        <v>11010100</v>
      </c>
      <c r="B14" s="72" t="s">
        <v>139</v>
      </c>
      <c r="C14" s="63">
        <f t="shared" si="0"/>
        <v>24950000</v>
      </c>
      <c r="D14" s="73">
        <f>24650000+300000</f>
        <v>24950000</v>
      </c>
      <c r="E14" s="58">
        <v>0</v>
      </c>
      <c r="F14" s="58"/>
      <c r="G14" s="58">
        <v>0</v>
      </c>
    </row>
    <row r="15" spans="1:7" s="54" customFormat="1" ht="63.75" hidden="1">
      <c r="A15" s="71">
        <v>11010200</v>
      </c>
      <c r="B15" s="72" t="s">
        <v>140</v>
      </c>
      <c r="C15" s="63">
        <f t="shared" si="0"/>
        <v>550000</v>
      </c>
      <c r="D15" s="73">
        <v>550000</v>
      </c>
      <c r="E15" s="58">
        <v>0</v>
      </c>
      <c r="F15" s="58">
        <f>SUM(D15:E15)</f>
        <v>550000</v>
      </c>
      <c r="G15" s="58">
        <v>0</v>
      </c>
    </row>
    <row r="16" spans="1:7" s="54" customFormat="1" ht="38.25" hidden="1">
      <c r="A16" s="71">
        <v>11010400</v>
      </c>
      <c r="B16" s="72" t="s">
        <v>141</v>
      </c>
      <c r="C16" s="63">
        <f t="shared" si="0"/>
        <v>2000000</v>
      </c>
      <c r="D16" s="73">
        <v>2000000</v>
      </c>
      <c r="E16" s="58">
        <v>0</v>
      </c>
      <c r="F16" s="58"/>
      <c r="G16" s="58">
        <v>0</v>
      </c>
    </row>
    <row r="17" spans="1:7" s="54" customFormat="1" ht="38.25" hidden="1">
      <c r="A17" s="71">
        <v>11010500</v>
      </c>
      <c r="B17" s="72" t="s">
        <v>142</v>
      </c>
      <c r="C17" s="63">
        <f t="shared" si="0"/>
        <v>700000</v>
      </c>
      <c r="D17" s="73">
        <v>700000</v>
      </c>
      <c r="E17" s="58">
        <v>0</v>
      </c>
      <c r="F17" s="58"/>
      <c r="G17" s="58">
        <v>0</v>
      </c>
    </row>
    <row r="18" spans="1:7" s="54" customFormat="1" ht="63.75" hidden="1">
      <c r="A18" s="71">
        <v>11010900</v>
      </c>
      <c r="B18" s="72" t="s">
        <v>143</v>
      </c>
      <c r="C18" s="63">
        <f t="shared" si="0"/>
        <v>100000</v>
      </c>
      <c r="D18" s="73">
        <v>100000</v>
      </c>
      <c r="E18" s="58">
        <v>0</v>
      </c>
      <c r="F18" s="58"/>
      <c r="G18" s="58">
        <v>0</v>
      </c>
    </row>
    <row r="19" spans="1:7" s="54" customFormat="1" ht="18" customHeight="1" hidden="1">
      <c r="A19" s="74">
        <v>11020000</v>
      </c>
      <c r="B19" s="75" t="s">
        <v>144</v>
      </c>
      <c r="C19" s="63">
        <f t="shared" si="0"/>
        <v>4000</v>
      </c>
      <c r="D19" s="58">
        <f>D20</f>
        <v>4000</v>
      </c>
      <c r="E19" s="58">
        <f>E20</f>
        <v>0</v>
      </c>
      <c r="F19" s="58"/>
      <c r="G19" s="58">
        <v>0</v>
      </c>
    </row>
    <row r="20" spans="1:7" s="54" customFormat="1" ht="25.5" hidden="1">
      <c r="A20" s="76">
        <v>11020200</v>
      </c>
      <c r="B20" s="77" t="s">
        <v>145</v>
      </c>
      <c r="C20" s="63">
        <f t="shared" si="0"/>
        <v>4000</v>
      </c>
      <c r="D20" s="58">
        <v>4000</v>
      </c>
      <c r="E20" s="58">
        <v>0</v>
      </c>
      <c r="F20" s="58"/>
      <c r="G20" s="58">
        <v>0</v>
      </c>
    </row>
    <row r="21" spans="1:7" s="54" customFormat="1" ht="15.75" customHeight="1" hidden="1">
      <c r="A21" s="76">
        <v>12000000</v>
      </c>
      <c r="B21" s="77" t="s">
        <v>146</v>
      </c>
      <c r="C21" s="63">
        <f t="shared" si="0"/>
        <v>0</v>
      </c>
      <c r="D21" s="58">
        <v>0</v>
      </c>
      <c r="E21" s="58">
        <v>0</v>
      </c>
      <c r="F21" s="58"/>
      <c r="G21" s="58">
        <f>D21</f>
        <v>0</v>
      </c>
    </row>
    <row r="22" spans="1:7" s="54" customFormat="1" ht="25.5" hidden="1">
      <c r="A22" s="76">
        <v>13000000</v>
      </c>
      <c r="B22" s="77" t="s">
        <v>147</v>
      </c>
      <c r="C22" s="63">
        <f t="shared" si="0"/>
        <v>1435000</v>
      </c>
      <c r="D22" s="58">
        <f>D23</f>
        <v>1435000</v>
      </c>
      <c r="E22" s="58">
        <f>E23</f>
        <v>0</v>
      </c>
      <c r="F22" s="58"/>
      <c r="G22" s="58">
        <v>0</v>
      </c>
    </row>
    <row r="23" spans="1:7" s="54" customFormat="1" ht="25.5" hidden="1">
      <c r="A23" s="76">
        <v>13010000</v>
      </c>
      <c r="B23" s="77" t="s">
        <v>148</v>
      </c>
      <c r="C23" s="63">
        <f t="shared" si="0"/>
        <v>1435000</v>
      </c>
      <c r="D23" s="58">
        <f>D24</f>
        <v>1435000</v>
      </c>
      <c r="E23" s="58">
        <f>E24</f>
        <v>0</v>
      </c>
      <c r="F23" s="58"/>
      <c r="G23" s="58">
        <v>0</v>
      </c>
    </row>
    <row r="24" spans="1:7" s="54" customFormat="1" ht="51" hidden="1">
      <c r="A24" s="76">
        <v>13010200</v>
      </c>
      <c r="B24" s="77" t="s">
        <v>149</v>
      </c>
      <c r="C24" s="63">
        <f t="shared" si="0"/>
        <v>1435000</v>
      </c>
      <c r="D24" s="58">
        <f>600000+130000+705000</f>
        <v>1435000</v>
      </c>
      <c r="E24" s="58">
        <v>0</v>
      </c>
      <c r="F24" s="58"/>
      <c r="G24" s="58">
        <v>0</v>
      </c>
    </row>
    <row r="25" spans="1:7" s="54" customFormat="1" ht="18" customHeight="1" hidden="1">
      <c r="A25" s="76">
        <v>14000000</v>
      </c>
      <c r="B25" s="77" t="s">
        <v>150</v>
      </c>
      <c r="C25" s="63">
        <f t="shared" si="0"/>
        <v>9490000</v>
      </c>
      <c r="D25" s="58">
        <f>D26</f>
        <v>9490000</v>
      </c>
      <c r="E25" s="58">
        <f>E26</f>
        <v>0</v>
      </c>
      <c r="F25" s="58"/>
      <c r="G25" s="58">
        <v>0</v>
      </c>
    </row>
    <row r="26" spans="1:7" s="54" customFormat="1" ht="25.5" hidden="1">
      <c r="A26" s="76">
        <v>14040000</v>
      </c>
      <c r="B26" s="77" t="s">
        <v>151</v>
      </c>
      <c r="C26" s="63">
        <f t="shared" si="0"/>
        <v>9490000</v>
      </c>
      <c r="D26" s="58">
        <f>9420000+70000</f>
        <v>9490000</v>
      </c>
      <c r="E26" s="58">
        <v>0</v>
      </c>
      <c r="F26" s="58"/>
      <c r="G26" s="58">
        <v>0</v>
      </c>
    </row>
    <row r="27" spans="1:7" s="54" customFormat="1" ht="17.25" customHeight="1" hidden="1">
      <c r="A27" s="61">
        <v>18000000</v>
      </c>
      <c r="B27" s="78" t="s">
        <v>152</v>
      </c>
      <c r="C27" s="63">
        <f t="shared" si="0"/>
        <v>9749100</v>
      </c>
      <c r="D27" s="67">
        <f>D28+D42+D39</f>
        <v>9749100</v>
      </c>
      <c r="E27" s="67">
        <f>E28+E42</f>
        <v>0</v>
      </c>
      <c r="F27" s="67"/>
      <c r="G27" s="67">
        <v>0</v>
      </c>
    </row>
    <row r="28" spans="1:7" s="54" customFormat="1" ht="12.75" hidden="1">
      <c r="A28" s="76">
        <v>18010000</v>
      </c>
      <c r="B28" s="77" t="s">
        <v>153</v>
      </c>
      <c r="C28" s="63">
        <f t="shared" si="0"/>
        <v>6812100</v>
      </c>
      <c r="D28" s="58">
        <f>D29+D30+D31+D32+D33+D34+D35+D36+D37+D38</f>
        <v>6812100</v>
      </c>
      <c r="E28" s="58">
        <f>E29+E30+E31+E32+E33+E34+E35+E36+E37+E38</f>
        <v>0</v>
      </c>
      <c r="F28" s="58"/>
      <c r="G28" s="58">
        <v>0</v>
      </c>
    </row>
    <row r="29" spans="1:7" s="54" customFormat="1" ht="38.25" hidden="1">
      <c r="A29" s="76">
        <v>18010100</v>
      </c>
      <c r="B29" s="77" t="s">
        <v>154</v>
      </c>
      <c r="C29" s="63">
        <f t="shared" si="0"/>
        <v>105000</v>
      </c>
      <c r="D29" s="58">
        <f>100000+5000</f>
        <v>105000</v>
      </c>
      <c r="E29" s="58">
        <v>0</v>
      </c>
      <c r="F29" s="58"/>
      <c r="G29" s="58">
        <v>0</v>
      </c>
    </row>
    <row r="30" spans="1:7" s="54" customFormat="1" ht="38.25" hidden="1">
      <c r="A30" s="76">
        <v>18010200</v>
      </c>
      <c r="B30" s="77" t="s">
        <v>155</v>
      </c>
      <c r="C30" s="63">
        <f t="shared" si="0"/>
        <v>205000</v>
      </c>
      <c r="D30" s="58">
        <f>200000+5000</f>
        <v>205000</v>
      </c>
      <c r="E30" s="58">
        <v>0</v>
      </c>
      <c r="F30" s="58"/>
      <c r="G30" s="58">
        <v>0</v>
      </c>
    </row>
    <row r="31" spans="1:7" s="54" customFormat="1" ht="38.25" hidden="1">
      <c r="A31" s="76">
        <v>18010300</v>
      </c>
      <c r="B31" s="77" t="s">
        <v>156</v>
      </c>
      <c r="C31" s="63">
        <f t="shared" si="0"/>
        <v>352000</v>
      </c>
      <c r="D31" s="58">
        <f>326000+26000</f>
        <v>352000</v>
      </c>
      <c r="E31" s="58">
        <v>0</v>
      </c>
      <c r="F31" s="58"/>
      <c r="G31" s="58">
        <v>0</v>
      </c>
    </row>
    <row r="32" spans="1:7" s="54" customFormat="1" ht="38.25" hidden="1">
      <c r="A32" s="76">
        <v>18010400</v>
      </c>
      <c r="B32" s="77" t="s">
        <v>157</v>
      </c>
      <c r="C32" s="63">
        <f t="shared" si="0"/>
        <v>587000</v>
      </c>
      <c r="D32" s="58">
        <f>555000+32000</f>
        <v>587000</v>
      </c>
      <c r="E32" s="58">
        <v>0</v>
      </c>
      <c r="F32" s="58"/>
      <c r="G32" s="58">
        <v>0</v>
      </c>
    </row>
    <row r="33" spans="1:7" s="54" customFormat="1" ht="12.75" hidden="1">
      <c r="A33" s="76">
        <v>18010500</v>
      </c>
      <c r="B33" s="77" t="s">
        <v>158</v>
      </c>
      <c r="C33" s="63">
        <f t="shared" si="0"/>
        <v>1577000</v>
      </c>
      <c r="D33" s="58">
        <f>1367000+210000</f>
        <v>1577000</v>
      </c>
      <c r="E33" s="58">
        <v>0</v>
      </c>
      <c r="F33" s="67"/>
      <c r="G33" s="58">
        <v>0</v>
      </c>
    </row>
    <row r="34" spans="1:7" s="54" customFormat="1" ht="12.75" hidden="1">
      <c r="A34" s="76">
        <v>18010600</v>
      </c>
      <c r="B34" s="77" t="s">
        <v>159</v>
      </c>
      <c r="C34" s="63">
        <f t="shared" si="0"/>
        <v>2498700</v>
      </c>
      <c r="D34" s="58">
        <f>2184700+70000+244000</f>
        <v>2498700</v>
      </c>
      <c r="E34" s="58">
        <v>0</v>
      </c>
      <c r="F34" s="58"/>
      <c r="G34" s="58">
        <v>0</v>
      </c>
    </row>
    <row r="35" spans="1:7" s="54" customFormat="1" ht="24" customHeight="1" hidden="1">
      <c r="A35" s="76">
        <v>18010700</v>
      </c>
      <c r="B35" s="77" t="s">
        <v>160</v>
      </c>
      <c r="C35" s="63">
        <f t="shared" si="0"/>
        <v>482400</v>
      </c>
      <c r="D35" s="58">
        <f>432400+50000</f>
        <v>482400</v>
      </c>
      <c r="E35" s="58">
        <v>0</v>
      </c>
      <c r="F35" s="58"/>
      <c r="G35" s="58">
        <v>0</v>
      </c>
    </row>
    <row r="36" spans="1:7" s="54" customFormat="1" ht="25.5" customHeight="1" hidden="1">
      <c r="A36" s="76">
        <v>18010900</v>
      </c>
      <c r="B36" s="77" t="s">
        <v>161</v>
      </c>
      <c r="C36" s="63">
        <f t="shared" si="0"/>
        <v>950000</v>
      </c>
      <c r="D36" s="58">
        <f>860000+90000</f>
        <v>950000</v>
      </c>
      <c r="E36" s="58">
        <f>E49</f>
        <v>0</v>
      </c>
      <c r="F36" s="58"/>
      <c r="G36" s="58">
        <v>0</v>
      </c>
    </row>
    <row r="37" spans="1:7" s="54" customFormat="1" ht="24.75" customHeight="1" hidden="1">
      <c r="A37" s="76">
        <v>18011000</v>
      </c>
      <c r="B37" s="77" t="s">
        <v>162</v>
      </c>
      <c r="C37" s="63">
        <f t="shared" si="0"/>
        <v>50000</v>
      </c>
      <c r="D37" s="58">
        <v>50000</v>
      </c>
      <c r="E37" s="58">
        <v>0</v>
      </c>
      <c r="F37" s="58"/>
      <c r="G37" s="58">
        <v>0</v>
      </c>
    </row>
    <row r="38" spans="1:7" s="54" customFormat="1" ht="27" customHeight="1" hidden="1">
      <c r="A38" s="76">
        <v>18011100</v>
      </c>
      <c r="B38" s="77" t="s">
        <v>163</v>
      </c>
      <c r="C38" s="63">
        <f t="shared" si="0"/>
        <v>5000</v>
      </c>
      <c r="D38" s="58">
        <v>5000</v>
      </c>
      <c r="E38" s="58">
        <v>0</v>
      </c>
      <c r="F38" s="58"/>
      <c r="G38" s="58">
        <v>0</v>
      </c>
    </row>
    <row r="39" spans="1:7" s="79" customFormat="1" ht="27" customHeight="1" hidden="1">
      <c r="A39" s="61">
        <v>18030000</v>
      </c>
      <c r="B39" s="78" t="s">
        <v>164</v>
      </c>
      <c r="C39" s="63">
        <f t="shared" si="0"/>
        <v>4000</v>
      </c>
      <c r="D39" s="67">
        <f>D40</f>
        <v>4000</v>
      </c>
      <c r="E39" s="67">
        <f>E40</f>
        <v>0</v>
      </c>
      <c r="F39" s="67"/>
      <c r="G39" s="58">
        <v>0</v>
      </c>
    </row>
    <row r="40" spans="1:7" s="54" customFormat="1" ht="27" customHeight="1" hidden="1">
      <c r="A40" s="76">
        <v>18030200</v>
      </c>
      <c r="B40" s="77" t="s">
        <v>165</v>
      </c>
      <c r="C40" s="63">
        <f t="shared" si="0"/>
        <v>4000</v>
      </c>
      <c r="D40" s="58">
        <v>4000</v>
      </c>
      <c r="E40" s="58">
        <v>0</v>
      </c>
      <c r="F40" s="58"/>
      <c r="G40" s="58">
        <v>0</v>
      </c>
    </row>
    <row r="41" spans="1:7" s="54" customFormat="1" ht="23.25" customHeight="1" hidden="1">
      <c r="A41" s="76"/>
      <c r="B41" s="77"/>
      <c r="C41" s="63">
        <f t="shared" si="0"/>
        <v>0</v>
      </c>
      <c r="D41" s="58"/>
      <c r="E41" s="58"/>
      <c r="F41" s="58"/>
      <c r="G41" s="58"/>
    </row>
    <row r="42" spans="1:7" s="54" customFormat="1" ht="12.75" hidden="1">
      <c r="A42" s="61">
        <v>18050000</v>
      </c>
      <c r="B42" s="78" t="s">
        <v>166</v>
      </c>
      <c r="C42" s="63">
        <f t="shared" si="0"/>
        <v>2933000</v>
      </c>
      <c r="D42" s="67">
        <f>D43+D44+D45</f>
        <v>2933000</v>
      </c>
      <c r="E42" s="67">
        <f>E43+E44</f>
        <v>0</v>
      </c>
      <c r="F42" s="67"/>
      <c r="G42" s="67">
        <v>0</v>
      </c>
    </row>
    <row r="43" spans="1:7" s="54" customFormat="1" ht="12.75" hidden="1">
      <c r="A43" s="76">
        <v>18050300</v>
      </c>
      <c r="B43" s="77" t="s">
        <v>167</v>
      </c>
      <c r="C43" s="63">
        <f aca="true" t="shared" si="1" ref="C43:C74">D43+E43</f>
        <v>2155000</v>
      </c>
      <c r="D43" s="58">
        <f>2000000+35000+120000</f>
        <v>2155000</v>
      </c>
      <c r="E43" s="58">
        <v>0</v>
      </c>
      <c r="F43" s="58"/>
      <c r="G43" s="58">
        <v>0</v>
      </c>
    </row>
    <row r="44" spans="1:7" s="54" customFormat="1" ht="12.75">
      <c r="A44" s="76">
        <v>18050400</v>
      </c>
      <c r="B44" s="77" t="s">
        <v>168</v>
      </c>
      <c r="C44" s="63">
        <f t="shared" si="1"/>
        <v>378000</v>
      </c>
      <c r="D44" s="58">
        <v>378000</v>
      </c>
      <c r="E44" s="58">
        <v>0</v>
      </c>
      <c r="F44" s="58"/>
      <c r="G44" s="58">
        <v>0</v>
      </c>
    </row>
    <row r="45" spans="1:7" s="54" customFormat="1" ht="12.75" hidden="1">
      <c r="A45" s="76">
        <v>18050500</v>
      </c>
      <c r="B45" s="77" t="s">
        <v>169</v>
      </c>
      <c r="C45" s="63">
        <f t="shared" si="1"/>
        <v>400000</v>
      </c>
      <c r="D45" s="58">
        <v>400000</v>
      </c>
      <c r="E45" s="58">
        <v>0</v>
      </c>
      <c r="F45" s="58"/>
      <c r="G45" s="58">
        <v>0</v>
      </c>
    </row>
    <row r="46" spans="1:7" s="54" customFormat="1" ht="12.75" hidden="1">
      <c r="A46" s="76"/>
      <c r="B46" s="77"/>
      <c r="C46" s="63">
        <f t="shared" si="1"/>
        <v>0</v>
      </c>
      <c r="D46" s="58"/>
      <c r="E46" s="58"/>
      <c r="F46" s="58"/>
      <c r="G46" s="58"/>
    </row>
    <row r="47" spans="1:7" s="54" customFormat="1" ht="12.75" hidden="1">
      <c r="A47" s="61">
        <v>19000000</v>
      </c>
      <c r="B47" s="78" t="s">
        <v>170</v>
      </c>
      <c r="C47" s="63">
        <f t="shared" si="1"/>
        <v>0</v>
      </c>
      <c r="D47" s="67">
        <f>D48</f>
        <v>0</v>
      </c>
      <c r="E47" s="67">
        <f>E48</f>
        <v>0</v>
      </c>
      <c r="F47" s="67"/>
      <c r="G47" s="67">
        <f>D47+E47</f>
        <v>0</v>
      </c>
    </row>
    <row r="48" spans="1:7" s="54" customFormat="1" ht="12.75" hidden="1">
      <c r="A48" s="76">
        <v>19010000</v>
      </c>
      <c r="B48" s="77" t="s">
        <v>171</v>
      </c>
      <c r="C48" s="63">
        <f t="shared" si="1"/>
        <v>0</v>
      </c>
      <c r="D48" s="58">
        <f>D49+D50+D51</f>
        <v>0</v>
      </c>
      <c r="E48" s="58">
        <f>E49+E50</f>
        <v>0</v>
      </c>
      <c r="F48" s="58"/>
      <c r="G48" s="58">
        <f>D48+E48</f>
        <v>0</v>
      </c>
    </row>
    <row r="49" spans="1:7" s="54" customFormat="1" ht="38.25" hidden="1">
      <c r="A49" s="76">
        <v>19010100</v>
      </c>
      <c r="B49" s="77" t="s">
        <v>172</v>
      </c>
      <c r="C49" s="63">
        <f t="shared" si="1"/>
        <v>0</v>
      </c>
      <c r="D49" s="58">
        <v>0</v>
      </c>
      <c r="E49" s="58">
        <v>0</v>
      </c>
      <c r="F49" s="58"/>
      <c r="G49" s="58">
        <f>D49+E49</f>
        <v>0</v>
      </c>
    </row>
    <row r="50" spans="1:7" s="54" customFormat="1" ht="25.5" hidden="1">
      <c r="A50" s="76">
        <v>19010200</v>
      </c>
      <c r="B50" s="77" t="s">
        <v>173</v>
      </c>
      <c r="C50" s="63">
        <f t="shared" si="1"/>
        <v>0</v>
      </c>
      <c r="D50" s="58">
        <v>0</v>
      </c>
      <c r="E50" s="58">
        <v>0</v>
      </c>
      <c r="F50" s="58"/>
      <c r="G50" s="58">
        <f>D50+E50</f>
        <v>0</v>
      </c>
    </row>
    <row r="51" spans="1:7" s="54" customFormat="1" ht="51" hidden="1">
      <c r="A51" s="76">
        <v>19010300</v>
      </c>
      <c r="B51" s="77" t="s">
        <v>174</v>
      </c>
      <c r="C51" s="63">
        <f t="shared" si="1"/>
        <v>0</v>
      </c>
      <c r="D51" s="58">
        <v>0</v>
      </c>
      <c r="E51" s="58">
        <v>0</v>
      </c>
      <c r="F51" s="58"/>
      <c r="G51" s="58">
        <f>D51+E51</f>
        <v>0</v>
      </c>
    </row>
    <row r="52" spans="1:7" s="54" customFormat="1" ht="12.75" hidden="1">
      <c r="A52" s="61">
        <v>20000000</v>
      </c>
      <c r="B52" s="62" t="s">
        <v>175</v>
      </c>
      <c r="C52" s="63">
        <f t="shared" si="1"/>
        <v>1602800</v>
      </c>
      <c r="D52" s="67">
        <f>D59+D70+D53+D74</f>
        <v>701800</v>
      </c>
      <c r="E52" s="67">
        <f>E59+E70+E53+E74</f>
        <v>901000</v>
      </c>
      <c r="F52" s="67"/>
      <c r="G52" s="67">
        <f>G59+G70+G53+G74</f>
        <v>0</v>
      </c>
    </row>
    <row r="53" spans="1:7" s="54" customFormat="1" ht="12.75" hidden="1">
      <c r="A53" s="76">
        <v>21000000</v>
      </c>
      <c r="B53" s="80" t="s">
        <v>176</v>
      </c>
      <c r="C53" s="63">
        <f t="shared" si="1"/>
        <v>87000</v>
      </c>
      <c r="D53" s="58">
        <f>D54</f>
        <v>87000</v>
      </c>
      <c r="E53" s="58">
        <f>E54+E56+E57</f>
        <v>0</v>
      </c>
      <c r="F53" s="58"/>
      <c r="G53" s="58">
        <v>0</v>
      </c>
    </row>
    <row r="54" spans="1:7" s="54" customFormat="1" ht="12.75" hidden="1">
      <c r="A54" s="61">
        <v>21080000</v>
      </c>
      <c r="B54" s="62" t="s">
        <v>177</v>
      </c>
      <c r="C54" s="63">
        <f t="shared" si="1"/>
        <v>87000</v>
      </c>
      <c r="D54" s="67">
        <f>D55+D56+D57</f>
        <v>87000</v>
      </c>
      <c r="E54" s="67">
        <f>E55</f>
        <v>0</v>
      </c>
      <c r="F54" s="67"/>
      <c r="G54" s="67">
        <f>G55</f>
        <v>0</v>
      </c>
    </row>
    <row r="55" spans="1:7" s="54" customFormat="1" ht="12.75" hidden="1">
      <c r="A55" s="76">
        <v>21080500</v>
      </c>
      <c r="B55" s="80" t="s">
        <v>177</v>
      </c>
      <c r="C55" s="63">
        <f t="shared" si="1"/>
        <v>20000</v>
      </c>
      <c r="D55" s="58">
        <f>17000+3000</f>
        <v>20000</v>
      </c>
      <c r="E55" s="58">
        <v>0</v>
      </c>
      <c r="F55" s="58"/>
      <c r="G55" s="58">
        <v>0</v>
      </c>
    </row>
    <row r="56" spans="1:7" s="54" customFormat="1" ht="12.75" hidden="1">
      <c r="A56" s="76">
        <v>21081100</v>
      </c>
      <c r="B56" s="80" t="s">
        <v>178</v>
      </c>
      <c r="C56" s="63">
        <f t="shared" si="1"/>
        <v>7000</v>
      </c>
      <c r="D56" s="58">
        <v>7000</v>
      </c>
      <c r="E56" s="58">
        <v>0</v>
      </c>
      <c r="F56" s="58"/>
      <c r="G56" s="58">
        <v>0</v>
      </c>
    </row>
    <row r="57" spans="1:7" s="54" customFormat="1" ht="38.25" hidden="1">
      <c r="A57" s="76">
        <v>21081500</v>
      </c>
      <c r="B57" s="80" t="s">
        <v>179</v>
      </c>
      <c r="C57" s="63">
        <f t="shared" si="1"/>
        <v>60000</v>
      </c>
      <c r="D57" s="58">
        <v>60000</v>
      </c>
      <c r="E57" s="58">
        <v>0</v>
      </c>
      <c r="F57" s="58"/>
      <c r="G57" s="58">
        <v>0</v>
      </c>
    </row>
    <row r="58" spans="1:7" s="54" customFormat="1" ht="12.75" hidden="1">
      <c r="A58" s="61"/>
      <c r="B58" s="62"/>
      <c r="C58" s="63">
        <f t="shared" si="1"/>
        <v>0</v>
      </c>
      <c r="D58" s="67"/>
      <c r="E58" s="67"/>
      <c r="F58" s="67"/>
      <c r="G58" s="67"/>
    </row>
    <row r="59" spans="1:7" s="54" customFormat="1" ht="25.5" hidden="1">
      <c r="A59" s="76">
        <v>22000000</v>
      </c>
      <c r="B59" s="77" t="s">
        <v>180</v>
      </c>
      <c r="C59" s="63">
        <f t="shared" si="1"/>
        <v>564800</v>
      </c>
      <c r="D59" s="58">
        <f>D66+D61+D65+D60+D62+D63+D64</f>
        <v>564800</v>
      </c>
      <c r="E59" s="58">
        <f>E66+E61+E65+E60+E62+E63+E64</f>
        <v>0</v>
      </c>
      <c r="F59" s="58">
        <f>F66+F61+F65+F60+F62+F63+F64</f>
        <v>0</v>
      </c>
      <c r="G59" s="58">
        <f>G66+G61+G65+G60+G62+G63+G64</f>
        <v>0</v>
      </c>
    </row>
    <row r="60" spans="1:7" s="54" customFormat="1" ht="38.25" hidden="1">
      <c r="A60" s="76">
        <v>22010300</v>
      </c>
      <c r="B60" s="77" t="s">
        <v>224</v>
      </c>
      <c r="C60" s="63">
        <f t="shared" si="1"/>
        <v>10000</v>
      </c>
      <c r="D60" s="58">
        <v>10000</v>
      </c>
      <c r="E60" s="58">
        <v>0</v>
      </c>
      <c r="F60" s="58"/>
      <c r="G60" s="58">
        <v>0</v>
      </c>
    </row>
    <row r="61" spans="1:7" s="54" customFormat="1" ht="12.75" hidden="1">
      <c r="A61" s="76">
        <v>22012500</v>
      </c>
      <c r="B61" s="77" t="s">
        <v>181</v>
      </c>
      <c r="C61" s="63">
        <f t="shared" si="1"/>
        <v>358800</v>
      </c>
      <c r="D61" s="58">
        <v>358800</v>
      </c>
      <c r="E61" s="58">
        <v>0</v>
      </c>
      <c r="F61" s="58"/>
      <c r="G61" s="58">
        <v>0</v>
      </c>
    </row>
    <row r="62" spans="1:7" s="54" customFormat="1" ht="38.25" hidden="1">
      <c r="A62" s="76">
        <v>22012600</v>
      </c>
      <c r="B62" s="77" t="s">
        <v>225</v>
      </c>
      <c r="C62" s="63">
        <f t="shared" si="1"/>
        <v>10000</v>
      </c>
      <c r="D62" s="58">
        <v>10000</v>
      </c>
      <c r="E62" s="58">
        <v>0</v>
      </c>
      <c r="F62" s="58"/>
      <c r="G62" s="58">
        <v>0</v>
      </c>
    </row>
    <row r="63" spans="1:7" s="54" customFormat="1" ht="76.5" hidden="1">
      <c r="A63" s="76">
        <v>22012700</v>
      </c>
      <c r="B63" s="77" t="s">
        <v>380</v>
      </c>
      <c r="C63" s="63">
        <f t="shared" si="1"/>
        <v>10000</v>
      </c>
      <c r="D63" s="58">
        <v>10000</v>
      </c>
      <c r="E63" s="58">
        <v>0</v>
      </c>
      <c r="F63" s="58"/>
      <c r="G63" s="58">
        <v>0</v>
      </c>
    </row>
    <row r="64" spans="1:7" s="54" customFormat="1" ht="63.75" hidden="1">
      <c r="A64" s="76">
        <v>22012900</v>
      </c>
      <c r="B64" s="77" t="s">
        <v>381</v>
      </c>
      <c r="C64" s="63">
        <f t="shared" si="1"/>
        <v>10000</v>
      </c>
      <c r="D64" s="58">
        <v>10000</v>
      </c>
      <c r="E64" s="58">
        <v>0</v>
      </c>
      <c r="F64" s="58"/>
      <c r="G64" s="58">
        <v>0</v>
      </c>
    </row>
    <row r="65" spans="1:7" s="54" customFormat="1" ht="38.25" hidden="1">
      <c r="A65" s="76">
        <v>22080402</v>
      </c>
      <c r="B65" s="77" t="s">
        <v>182</v>
      </c>
      <c r="C65" s="63">
        <f t="shared" si="1"/>
        <v>106000</v>
      </c>
      <c r="D65" s="58">
        <v>106000</v>
      </c>
      <c r="E65" s="58">
        <v>0</v>
      </c>
      <c r="F65" s="58"/>
      <c r="G65" s="58">
        <v>0</v>
      </c>
    </row>
    <row r="66" spans="1:7" s="54" customFormat="1" ht="12.75" hidden="1">
      <c r="A66" s="61">
        <v>22090000</v>
      </c>
      <c r="B66" s="78" t="s">
        <v>183</v>
      </c>
      <c r="C66" s="63">
        <f t="shared" si="1"/>
        <v>60000</v>
      </c>
      <c r="D66" s="67">
        <f>D67+D68</f>
        <v>60000</v>
      </c>
      <c r="E66" s="67">
        <f>E67+E68</f>
        <v>0</v>
      </c>
      <c r="F66" s="67"/>
      <c r="G66" s="67">
        <f>G67+G68</f>
        <v>0</v>
      </c>
    </row>
    <row r="67" spans="1:7" s="54" customFormat="1" ht="38.25" hidden="1">
      <c r="A67" s="76">
        <v>22090100</v>
      </c>
      <c r="B67" s="77" t="s">
        <v>184</v>
      </c>
      <c r="C67" s="63">
        <f t="shared" si="1"/>
        <v>24000</v>
      </c>
      <c r="D67" s="58">
        <v>24000</v>
      </c>
      <c r="E67" s="58">
        <v>0</v>
      </c>
      <c r="F67" s="58"/>
      <c r="G67" s="58">
        <v>0</v>
      </c>
    </row>
    <row r="68" spans="1:7" s="54" customFormat="1" ht="46.5" customHeight="1" hidden="1">
      <c r="A68" s="76">
        <v>22090400</v>
      </c>
      <c r="B68" s="77" t="s">
        <v>185</v>
      </c>
      <c r="C68" s="63">
        <f t="shared" si="1"/>
        <v>36000</v>
      </c>
      <c r="D68" s="58">
        <v>36000</v>
      </c>
      <c r="E68" s="58">
        <v>0</v>
      </c>
      <c r="F68" s="58"/>
      <c r="G68" s="58">
        <v>0</v>
      </c>
    </row>
    <row r="69" spans="1:7" s="54" customFormat="1" ht="12.75" hidden="1">
      <c r="A69" s="76">
        <v>23000000</v>
      </c>
      <c r="B69" s="77" t="s">
        <v>186</v>
      </c>
      <c r="C69" s="63">
        <f t="shared" si="1"/>
        <v>0</v>
      </c>
      <c r="D69" s="58">
        <v>0</v>
      </c>
      <c r="E69" s="58">
        <v>0</v>
      </c>
      <c r="F69" s="58"/>
      <c r="G69" s="58">
        <f>D69+E69</f>
        <v>0</v>
      </c>
    </row>
    <row r="70" spans="1:7" s="54" customFormat="1" ht="12.75" hidden="1">
      <c r="A70" s="61">
        <v>24000000</v>
      </c>
      <c r="B70" s="78" t="s">
        <v>187</v>
      </c>
      <c r="C70" s="63">
        <f t="shared" si="1"/>
        <v>71000</v>
      </c>
      <c r="D70" s="67">
        <f>D71</f>
        <v>50000</v>
      </c>
      <c r="E70" s="67">
        <f>E71</f>
        <v>21000</v>
      </c>
      <c r="F70" s="67"/>
      <c r="G70" s="67">
        <f>G71</f>
        <v>0</v>
      </c>
    </row>
    <row r="71" spans="1:7" s="54" customFormat="1" ht="12.75" hidden="1">
      <c r="A71" s="76">
        <v>24060000</v>
      </c>
      <c r="B71" s="77" t="s">
        <v>188</v>
      </c>
      <c r="C71" s="63">
        <f t="shared" si="1"/>
        <v>71000</v>
      </c>
      <c r="D71" s="58">
        <f>D73+D72</f>
        <v>50000</v>
      </c>
      <c r="E71" s="58">
        <f>E73+E72</f>
        <v>21000</v>
      </c>
      <c r="F71" s="58"/>
      <c r="G71" s="58">
        <f>G73+G72</f>
        <v>0</v>
      </c>
    </row>
    <row r="72" spans="1:7" s="54" customFormat="1" ht="12.75" hidden="1">
      <c r="A72" s="76">
        <v>24060300</v>
      </c>
      <c r="B72" s="77" t="s">
        <v>177</v>
      </c>
      <c r="C72" s="63">
        <f t="shared" si="1"/>
        <v>50000</v>
      </c>
      <c r="D72" s="58">
        <v>50000</v>
      </c>
      <c r="E72" s="58">
        <v>0</v>
      </c>
      <c r="F72" s="58"/>
      <c r="G72" s="58">
        <v>0</v>
      </c>
    </row>
    <row r="73" spans="1:7" s="54" customFormat="1" ht="51" hidden="1">
      <c r="A73" s="76">
        <v>24062100</v>
      </c>
      <c r="B73" s="77" t="s">
        <v>189</v>
      </c>
      <c r="C73" s="63">
        <f t="shared" si="1"/>
        <v>21000</v>
      </c>
      <c r="D73" s="58">
        <v>0</v>
      </c>
      <c r="E73" s="58">
        <v>21000</v>
      </c>
      <c r="F73" s="58"/>
      <c r="G73" s="58">
        <v>0</v>
      </c>
    </row>
    <row r="74" spans="1:7" s="54" customFormat="1" ht="12.75" hidden="1">
      <c r="A74" s="61">
        <v>25000000</v>
      </c>
      <c r="B74" s="78" t="s">
        <v>190</v>
      </c>
      <c r="C74" s="63">
        <f t="shared" si="1"/>
        <v>880000</v>
      </c>
      <c r="D74" s="67">
        <f>D75</f>
        <v>0</v>
      </c>
      <c r="E74" s="67">
        <f>E75</f>
        <v>880000</v>
      </c>
      <c r="F74" s="67"/>
      <c r="G74" s="67">
        <f>G75</f>
        <v>0</v>
      </c>
    </row>
    <row r="75" spans="1:7" s="54" customFormat="1" ht="25.5" hidden="1">
      <c r="A75" s="76">
        <v>25010100</v>
      </c>
      <c r="B75" s="77" t="s">
        <v>191</v>
      </c>
      <c r="C75" s="63">
        <f aca="true" t="shared" si="2" ref="C75:C106">D75+E75</f>
        <v>880000</v>
      </c>
      <c r="D75" s="58">
        <v>0</v>
      </c>
      <c r="E75" s="58">
        <v>880000</v>
      </c>
      <c r="F75" s="58"/>
      <c r="G75" s="58">
        <v>0</v>
      </c>
    </row>
    <row r="76" spans="1:7" s="54" customFormat="1" ht="12.75" hidden="1">
      <c r="A76" s="76"/>
      <c r="B76" s="77"/>
      <c r="C76" s="63">
        <f t="shared" si="2"/>
        <v>0</v>
      </c>
      <c r="D76" s="58"/>
      <c r="E76" s="58"/>
      <c r="F76" s="58"/>
      <c r="G76" s="58"/>
    </row>
    <row r="77" spans="1:7" s="54" customFormat="1" ht="12.75" hidden="1">
      <c r="A77" s="61">
        <v>30000000</v>
      </c>
      <c r="B77" s="62" t="s">
        <v>192</v>
      </c>
      <c r="C77" s="63">
        <f t="shared" si="2"/>
        <v>1250000</v>
      </c>
      <c r="D77" s="67">
        <f>D78+D79+D80</f>
        <v>0</v>
      </c>
      <c r="E77" s="67">
        <f>E78+E79+E80</f>
        <v>1250000</v>
      </c>
      <c r="F77" s="67"/>
      <c r="G77" s="67">
        <f>G78+G79+G80</f>
        <v>1250000</v>
      </c>
    </row>
    <row r="78" spans="1:7" s="54" customFormat="1" ht="12.75" hidden="1">
      <c r="A78" s="76">
        <v>31000000</v>
      </c>
      <c r="B78" s="77" t="s">
        <v>193</v>
      </c>
      <c r="C78" s="63">
        <f t="shared" si="2"/>
        <v>0</v>
      </c>
      <c r="D78" s="58">
        <v>0</v>
      </c>
      <c r="E78" s="58">
        <v>0</v>
      </c>
      <c r="F78" s="58"/>
      <c r="G78" s="58">
        <f>D78+E78</f>
        <v>0</v>
      </c>
    </row>
    <row r="79" spans="1:7" s="54" customFormat="1" ht="12.75" hidden="1">
      <c r="A79" s="76">
        <v>32000000</v>
      </c>
      <c r="B79" s="77" t="s">
        <v>194</v>
      </c>
      <c r="C79" s="63">
        <f t="shared" si="2"/>
        <v>0</v>
      </c>
      <c r="D79" s="58">
        <v>0</v>
      </c>
      <c r="E79" s="58">
        <v>0</v>
      </c>
      <c r="F79" s="58"/>
      <c r="G79" s="58">
        <f>D79+E79</f>
        <v>0</v>
      </c>
    </row>
    <row r="80" spans="1:7" s="54" customFormat="1" ht="25.5" hidden="1">
      <c r="A80" s="76">
        <v>33000000</v>
      </c>
      <c r="B80" s="77" t="s">
        <v>195</v>
      </c>
      <c r="C80" s="63">
        <f t="shared" si="2"/>
        <v>1250000</v>
      </c>
      <c r="D80" s="58">
        <f>D81</f>
        <v>0</v>
      </c>
      <c r="E80" s="58">
        <f>E81</f>
        <v>1250000</v>
      </c>
      <c r="F80" s="58"/>
      <c r="G80" s="58">
        <f>D80+E80</f>
        <v>1250000</v>
      </c>
    </row>
    <row r="81" spans="1:7" s="54" customFormat="1" ht="12.75" hidden="1">
      <c r="A81" s="76">
        <v>33010000</v>
      </c>
      <c r="B81" s="77" t="s">
        <v>196</v>
      </c>
      <c r="C81" s="63">
        <f t="shared" si="2"/>
        <v>1250000</v>
      </c>
      <c r="D81" s="58">
        <f>D82</f>
        <v>0</v>
      </c>
      <c r="E81" s="58">
        <f>E82</f>
        <v>1250000</v>
      </c>
      <c r="F81" s="58"/>
      <c r="G81" s="58">
        <f>D81+E81</f>
        <v>1250000</v>
      </c>
    </row>
    <row r="82" spans="1:7" s="54" customFormat="1" ht="63.75" hidden="1">
      <c r="A82" s="76">
        <v>33010100</v>
      </c>
      <c r="B82" s="77" t="s">
        <v>197</v>
      </c>
      <c r="C82" s="63">
        <f t="shared" si="2"/>
        <v>1250000</v>
      </c>
      <c r="D82" s="58">
        <v>0</v>
      </c>
      <c r="E82" s="58">
        <v>1250000</v>
      </c>
      <c r="F82" s="58" t="e">
        <f>#REF!+#REF!+F83</f>
        <v>#REF!</v>
      </c>
      <c r="G82" s="58">
        <f>D82+E82</f>
        <v>1250000</v>
      </c>
    </row>
    <row r="83" spans="1:7" s="54" customFormat="1" ht="12.75" hidden="1">
      <c r="A83" s="61">
        <v>40000000</v>
      </c>
      <c r="B83" s="62" t="s">
        <v>198</v>
      </c>
      <c r="C83" s="63">
        <f t="shared" si="2"/>
        <v>77304500</v>
      </c>
      <c r="D83" s="67">
        <f>D91+D102</f>
        <v>77304500</v>
      </c>
      <c r="E83" s="67">
        <f>E91+E102</f>
        <v>0</v>
      </c>
      <c r="F83" s="67"/>
      <c r="G83" s="67">
        <f>G91+G102</f>
        <v>0</v>
      </c>
    </row>
    <row r="84" spans="1:7" s="54" customFormat="1" ht="12.75" hidden="1">
      <c r="A84" s="61"/>
      <c r="B84" s="62"/>
      <c r="C84" s="63">
        <f t="shared" si="2"/>
        <v>0</v>
      </c>
      <c r="D84" s="67"/>
      <c r="E84" s="67"/>
      <c r="F84" s="67"/>
      <c r="G84" s="67"/>
    </row>
    <row r="85" spans="1:7" s="54" customFormat="1" ht="12.75" hidden="1">
      <c r="A85" s="61"/>
      <c r="B85" s="62"/>
      <c r="C85" s="63">
        <f t="shared" si="2"/>
        <v>0</v>
      </c>
      <c r="D85" s="67"/>
      <c r="E85" s="67"/>
      <c r="F85" s="67"/>
      <c r="G85" s="67"/>
    </row>
    <row r="86" spans="1:7" s="54" customFormat="1" ht="12.75" hidden="1">
      <c r="A86" s="61"/>
      <c r="B86" s="62"/>
      <c r="C86" s="63">
        <f t="shared" si="2"/>
        <v>0</v>
      </c>
      <c r="D86" s="67"/>
      <c r="E86" s="67"/>
      <c r="F86" s="67"/>
      <c r="G86" s="67"/>
    </row>
    <row r="87" spans="1:7" s="54" customFormat="1" ht="12.75" hidden="1">
      <c r="A87" s="61"/>
      <c r="B87" s="62"/>
      <c r="C87" s="63">
        <f t="shared" si="2"/>
        <v>0</v>
      </c>
      <c r="D87" s="67"/>
      <c r="E87" s="67"/>
      <c r="F87" s="67"/>
      <c r="G87" s="67"/>
    </row>
    <row r="88" spans="1:7" s="54" customFormat="1" ht="12.75" hidden="1">
      <c r="A88" s="61"/>
      <c r="B88" s="62"/>
      <c r="C88" s="63">
        <f t="shared" si="2"/>
        <v>0</v>
      </c>
      <c r="D88" s="67"/>
      <c r="E88" s="67"/>
      <c r="F88" s="67"/>
      <c r="G88" s="67"/>
    </row>
    <row r="89" spans="1:7" s="54" customFormat="1" ht="12.75" hidden="1">
      <c r="A89" s="61"/>
      <c r="B89" s="62"/>
      <c r="C89" s="63">
        <f t="shared" si="2"/>
        <v>0</v>
      </c>
      <c r="D89" s="67"/>
      <c r="E89" s="67"/>
      <c r="F89" s="67"/>
      <c r="G89" s="67"/>
    </row>
    <row r="90" spans="1:7" s="54" customFormat="1" ht="12.75" hidden="1">
      <c r="A90" s="61"/>
      <c r="B90" s="62"/>
      <c r="C90" s="63">
        <f t="shared" si="2"/>
        <v>0</v>
      </c>
      <c r="D90" s="67"/>
      <c r="E90" s="67"/>
      <c r="F90" s="67"/>
      <c r="G90" s="67"/>
    </row>
    <row r="91" spans="1:7" s="54" customFormat="1" ht="12.75" hidden="1">
      <c r="A91" s="76">
        <v>41000000</v>
      </c>
      <c r="B91" s="77" t="s">
        <v>199</v>
      </c>
      <c r="C91" s="63">
        <f t="shared" si="2"/>
        <v>77304500</v>
      </c>
      <c r="D91" s="58">
        <f>D93+D96+D99</f>
        <v>77304500</v>
      </c>
      <c r="E91" s="58">
        <f>E92+E93+E101</f>
        <v>0</v>
      </c>
      <c r="F91" s="58"/>
      <c r="G91" s="58">
        <v>0</v>
      </c>
    </row>
    <row r="92" spans="1:7" s="54" customFormat="1" ht="12.75" hidden="1">
      <c r="A92" s="76">
        <v>41010000</v>
      </c>
      <c r="B92" s="77" t="s">
        <v>200</v>
      </c>
      <c r="C92" s="63">
        <f t="shared" si="2"/>
        <v>0</v>
      </c>
      <c r="D92" s="67">
        <v>0</v>
      </c>
      <c r="E92" s="67">
        <v>0</v>
      </c>
      <c r="F92" s="67">
        <v>0</v>
      </c>
      <c r="G92" s="58">
        <f>D92+E92</f>
        <v>0</v>
      </c>
    </row>
    <row r="93" spans="1:7" s="54" customFormat="1" ht="13.5" customHeight="1" hidden="1">
      <c r="A93" s="76">
        <v>41020000</v>
      </c>
      <c r="B93" s="77" t="s">
        <v>201</v>
      </c>
      <c r="C93" s="63">
        <f t="shared" si="2"/>
        <v>17343700</v>
      </c>
      <c r="D93" s="58">
        <f>D94+D95</f>
        <v>17343700</v>
      </c>
      <c r="E93" s="58">
        <f>E100</f>
        <v>0</v>
      </c>
      <c r="F93" s="58"/>
      <c r="G93" s="58">
        <v>0</v>
      </c>
    </row>
    <row r="94" spans="1:7" s="54" customFormat="1" ht="13.5" customHeight="1" hidden="1">
      <c r="A94" s="76">
        <v>41020100</v>
      </c>
      <c r="B94" s="81" t="s">
        <v>202</v>
      </c>
      <c r="C94" s="63">
        <f t="shared" si="2"/>
        <v>9002200</v>
      </c>
      <c r="D94" s="58">
        <v>9002200</v>
      </c>
      <c r="E94" s="58"/>
      <c r="F94" s="58"/>
      <c r="G94" s="58">
        <v>0</v>
      </c>
    </row>
    <row r="95" spans="1:7" s="54" customFormat="1" ht="34.5" customHeight="1" hidden="1">
      <c r="A95" s="76">
        <v>41020200</v>
      </c>
      <c r="B95" s="77" t="s">
        <v>70</v>
      </c>
      <c r="C95" s="63">
        <f t="shared" si="2"/>
        <v>8341500</v>
      </c>
      <c r="D95" s="58">
        <v>8341500</v>
      </c>
      <c r="E95" s="58">
        <v>0</v>
      </c>
      <c r="F95" s="58"/>
      <c r="G95" s="58">
        <f>D95+E95</f>
        <v>8341500</v>
      </c>
    </row>
    <row r="96" spans="1:7" s="54" customFormat="1" ht="15.75" customHeight="1" hidden="1">
      <c r="A96" s="76">
        <v>41030000</v>
      </c>
      <c r="B96" s="77" t="s">
        <v>203</v>
      </c>
      <c r="C96" s="63">
        <f t="shared" si="2"/>
        <v>59960800</v>
      </c>
      <c r="D96" s="58">
        <f>D97+D98</f>
        <v>59960800</v>
      </c>
      <c r="E96" s="58"/>
      <c r="F96" s="58"/>
      <c r="G96" s="58">
        <v>0</v>
      </c>
    </row>
    <row r="97" spans="1:7" s="54" customFormat="1" ht="28.5" customHeight="1" hidden="1">
      <c r="A97" s="76">
        <v>41034200</v>
      </c>
      <c r="B97" s="81" t="s">
        <v>22</v>
      </c>
      <c r="C97" s="63">
        <f t="shared" si="2"/>
        <v>22512700</v>
      </c>
      <c r="D97" s="58">
        <v>22512700</v>
      </c>
      <c r="E97" s="58"/>
      <c r="F97" s="58"/>
      <c r="G97" s="58">
        <v>0</v>
      </c>
    </row>
    <row r="98" spans="1:7" s="54" customFormat="1" ht="27.75" customHeight="1" hidden="1">
      <c r="A98" s="76">
        <v>41033900</v>
      </c>
      <c r="B98" s="81" t="s">
        <v>21</v>
      </c>
      <c r="C98" s="63">
        <f t="shared" si="2"/>
        <v>37448100</v>
      </c>
      <c r="D98" s="58">
        <v>37448100</v>
      </c>
      <c r="E98" s="58"/>
      <c r="F98" s="58"/>
      <c r="G98" s="58">
        <v>0</v>
      </c>
    </row>
    <row r="99" spans="3:7" s="82" customFormat="1" ht="40.5" customHeight="1" hidden="1">
      <c r="C99" s="63">
        <f t="shared" si="2"/>
        <v>0</v>
      </c>
      <c r="D99" s="83">
        <v>0</v>
      </c>
      <c r="E99" s="83"/>
      <c r="F99" s="83"/>
      <c r="G99" s="83">
        <v>0</v>
      </c>
    </row>
    <row r="100" spans="1:7" s="54" customFormat="1" ht="15.75" customHeight="1" hidden="1">
      <c r="A100" s="76">
        <v>41020900</v>
      </c>
      <c r="B100" s="77" t="s">
        <v>204</v>
      </c>
      <c r="C100" s="63">
        <f t="shared" si="2"/>
        <v>0</v>
      </c>
      <c r="D100" s="58"/>
      <c r="E100" s="58">
        <v>0</v>
      </c>
      <c r="F100" s="58"/>
      <c r="G100" s="58">
        <f>D100+E100</f>
        <v>0</v>
      </c>
    </row>
    <row r="101" spans="1:7" s="54" customFormat="1" ht="12.75" hidden="1">
      <c r="A101" s="76">
        <v>41030000</v>
      </c>
      <c r="B101" s="77" t="s">
        <v>203</v>
      </c>
      <c r="C101" s="63">
        <f t="shared" si="2"/>
        <v>0</v>
      </c>
      <c r="D101" s="58">
        <v>0</v>
      </c>
      <c r="E101" s="58">
        <v>0</v>
      </c>
      <c r="F101" s="58"/>
      <c r="G101" s="58">
        <f>D101+E101</f>
        <v>0</v>
      </c>
    </row>
    <row r="102" spans="1:7" s="54" customFormat="1" ht="12.75" hidden="1">
      <c r="A102" s="76">
        <v>42000000</v>
      </c>
      <c r="B102" s="77" t="s">
        <v>205</v>
      </c>
      <c r="C102" s="63">
        <f t="shared" si="2"/>
        <v>0</v>
      </c>
      <c r="D102" s="67">
        <v>0</v>
      </c>
      <c r="E102" s="58">
        <v>0</v>
      </c>
      <c r="F102" s="67"/>
      <c r="G102" s="67">
        <f>D102+E102</f>
        <v>0</v>
      </c>
    </row>
    <row r="103" spans="1:7" s="79" customFormat="1" ht="12.75" hidden="1">
      <c r="A103" s="61">
        <v>50000000</v>
      </c>
      <c r="B103" s="62" t="s">
        <v>206</v>
      </c>
      <c r="C103" s="63">
        <f t="shared" si="2"/>
        <v>446000</v>
      </c>
      <c r="D103" s="67">
        <f>D104</f>
        <v>0</v>
      </c>
      <c r="E103" s="67">
        <f>E104</f>
        <v>446000</v>
      </c>
      <c r="F103" s="67"/>
      <c r="G103" s="67">
        <f>G104</f>
        <v>0</v>
      </c>
    </row>
    <row r="104" spans="1:7" s="54" customFormat="1" ht="12.75" hidden="1">
      <c r="A104" s="61">
        <v>50100000</v>
      </c>
      <c r="B104" s="62" t="s">
        <v>207</v>
      </c>
      <c r="C104" s="63">
        <f t="shared" si="2"/>
        <v>446000</v>
      </c>
      <c r="D104" s="58">
        <f>D105</f>
        <v>0</v>
      </c>
      <c r="E104" s="58">
        <f>E105</f>
        <v>446000</v>
      </c>
      <c r="F104" s="58"/>
      <c r="G104" s="58">
        <v>0</v>
      </c>
    </row>
    <row r="105" spans="1:7" s="54" customFormat="1" ht="39.75" customHeight="1" hidden="1">
      <c r="A105" s="61">
        <v>50110000</v>
      </c>
      <c r="B105" s="62" t="s">
        <v>208</v>
      </c>
      <c r="C105" s="63">
        <f t="shared" si="2"/>
        <v>446000</v>
      </c>
      <c r="D105" s="58">
        <v>0</v>
      </c>
      <c r="E105" s="58">
        <v>446000</v>
      </c>
      <c r="F105" s="58"/>
      <c r="G105" s="58">
        <v>0</v>
      </c>
    </row>
    <row r="106" spans="1:7" s="54" customFormat="1" ht="12.75" hidden="1">
      <c r="A106" s="84">
        <v>41030000</v>
      </c>
      <c r="B106" s="85" t="s">
        <v>203</v>
      </c>
      <c r="C106" s="63">
        <f t="shared" si="2"/>
        <v>0</v>
      </c>
      <c r="D106" s="86">
        <f>SUM(D107:D110)</f>
        <v>0</v>
      </c>
      <c r="E106" s="86">
        <f>SUM(E107:E110)</f>
        <v>0</v>
      </c>
      <c r="F106" s="86">
        <f>SUM(F107:F110)</f>
        <v>0</v>
      </c>
      <c r="G106" s="86">
        <f aca="true" t="shared" si="3" ref="G106:G113">D106+E106</f>
        <v>0</v>
      </c>
    </row>
    <row r="107" spans="1:7" s="54" customFormat="1" ht="12.75" hidden="1">
      <c r="A107" s="87">
        <v>41035003</v>
      </c>
      <c r="B107" s="88" t="s">
        <v>209</v>
      </c>
      <c r="C107" s="63">
        <f>D107+E107</f>
        <v>0</v>
      </c>
      <c r="D107" s="58">
        <v>0</v>
      </c>
      <c r="E107" s="58"/>
      <c r="F107" s="58"/>
      <c r="G107" s="58">
        <f t="shared" si="3"/>
        <v>0</v>
      </c>
    </row>
    <row r="108" spans="1:7" s="54" customFormat="1" ht="51" hidden="1">
      <c r="A108" s="87">
        <v>41036300</v>
      </c>
      <c r="B108" s="88" t="s">
        <v>210</v>
      </c>
      <c r="C108" s="63">
        <f>D108+E108</f>
        <v>0</v>
      </c>
      <c r="D108" s="58"/>
      <c r="E108" s="58"/>
      <c r="F108" s="58"/>
      <c r="G108" s="58">
        <f t="shared" si="3"/>
        <v>0</v>
      </c>
    </row>
    <row r="109" spans="1:7" s="54" customFormat="1" ht="38.25" hidden="1">
      <c r="A109" s="87">
        <v>41037000</v>
      </c>
      <c r="B109" s="88" t="s">
        <v>211</v>
      </c>
      <c r="C109" s="63">
        <f>D109+E109</f>
        <v>0</v>
      </c>
      <c r="D109" s="58"/>
      <c r="E109" s="58"/>
      <c r="F109" s="58"/>
      <c r="G109" s="58">
        <f t="shared" si="3"/>
        <v>0</v>
      </c>
    </row>
    <row r="110" spans="1:7" s="54" customFormat="1" ht="76.5" hidden="1">
      <c r="A110" s="87">
        <v>41036600</v>
      </c>
      <c r="B110" s="89" t="s">
        <v>212</v>
      </c>
      <c r="C110" s="63">
        <f>D110+E110</f>
        <v>0</v>
      </c>
      <c r="D110" s="58"/>
      <c r="E110" s="58"/>
      <c r="F110" s="58"/>
      <c r="G110" s="58">
        <f t="shared" si="3"/>
        <v>0</v>
      </c>
    </row>
    <row r="111" spans="1:7" s="54" customFormat="1" ht="63.75" hidden="1">
      <c r="A111" s="87">
        <v>41037900</v>
      </c>
      <c r="B111" s="88" t="s">
        <v>213</v>
      </c>
      <c r="C111" s="63">
        <f>D111+E111</f>
        <v>0</v>
      </c>
      <c r="D111" s="58"/>
      <c r="E111" s="58"/>
      <c r="F111" s="58"/>
      <c r="G111" s="58">
        <f t="shared" si="3"/>
        <v>0</v>
      </c>
    </row>
    <row r="112" spans="1:7" s="54" customFormat="1" ht="51" hidden="1">
      <c r="A112" s="87">
        <v>41021300</v>
      </c>
      <c r="B112" s="90" t="s">
        <v>214</v>
      </c>
      <c r="C112" s="63">
        <f>D112+E112</f>
        <v>0</v>
      </c>
      <c r="D112" s="58"/>
      <c r="E112" s="58"/>
      <c r="F112" s="58"/>
      <c r="G112" s="58">
        <f t="shared" si="3"/>
        <v>0</v>
      </c>
    </row>
    <row r="113" spans="1:7" s="54" customFormat="1" ht="25.5" hidden="1">
      <c r="A113" s="87">
        <v>43010000</v>
      </c>
      <c r="B113" s="88" t="s">
        <v>215</v>
      </c>
      <c r="C113" s="63">
        <f>D113+E113</f>
        <v>0</v>
      </c>
      <c r="D113" s="67"/>
      <c r="E113" s="67"/>
      <c r="F113" s="67">
        <f>E113</f>
        <v>0</v>
      </c>
      <c r="G113" s="67">
        <f t="shared" si="3"/>
        <v>0</v>
      </c>
    </row>
    <row r="114" spans="1:7" s="54" customFormat="1" ht="12.75" hidden="1">
      <c r="A114" s="87"/>
      <c r="B114" s="88"/>
      <c r="C114" s="63">
        <f>D114+E114</f>
        <v>0</v>
      </c>
      <c r="D114" s="67"/>
      <c r="E114" s="67"/>
      <c r="F114" s="67"/>
      <c r="G114" s="67"/>
    </row>
    <row r="115" spans="1:7" s="54" customFormat="1" ht="12.75" hidden="1">
      <c r="A115" s="300" t="s">
        <v>216</v>
      </c>
      <c r="B115" s="300"/>
      <c r="C115" s="63">
        <f>D115+E115</f>
        <v>52276900</v>
      </c>
      <c r="D115" s="67">
        <f>D11+D52+D77+D103</f>
        <v>49679900</v>
      </c>
      <c r="E115" s="67">
        <f>E11+E52+E77+E103</f>
        <v>2597000</v>
      </c>
      <c r="F115" s="67" t="e">
        <f>F11+F52+F77+F103</f>
        <v>#REF!</v>
      </c>
      <c r="G115" s="67">
        <f>G11+G52+G77+G103</f>
        <v>1250000</v>
      </c>
    </row>
    <row r="116" spans="1:7" s="54" customFormat="1" ht="12.75">
      <c r="A116" s="301" t="s">
        <v>0</v>
      </c>
      <c r="B116" s="301"/>
      <c r="C116" s="63">
        <v>378000</v>
      </c>
      <c r="D116" s="64">
        <v>378000</v>
      </c>
      <c r="E116" s="64">
        <v>0</v>
      </c>
      <c r="F116" s="64" t="e">
        <f>F115+F83</f>
        <v>#REF!</v>
      </c>
      <c r="G116" s="64">
        <v>0</v>
      </c>
    </row>
    <row r="119" spans="2:5" ht="12.75" hidden="1">
      <c r="B119" s="18" t="s">
        <v>3</v>
      </c>
      <c r="D119" s="6"/>
      <c r="E119" s="4" t="s">
        <v>217</v>
      </c>
    </row>
    <row r="121" spans="1:7" ht="12.75">
      <c r="A121" s="287" t="s">
        <v>382</v>
      </c>
      <c r="B121" s="288"/>
      <c r="E121" s="359" t="s">
        <v>383</v>
      </c>
      <c r="G121" s="5"/>
    </row>
    <row r="123" spans="1:7" ht="12.75" hidden="1">
      <c r="A123" s="92" t="s">
        <v>221</v>
      </c>
      <c r="E123" s="6"/>
      <c r="F123" s="4" t="s">
        <v>222</v>
      </c>
      <c r="G123" s="5" t="s">
        <v>223</v>
      </c>
    </row>
  </sheetData>
  <sheetProtection/>
  <mergeCells count="10">
    <mergeCell ref="D1:G1"/>
    <mergeCell ref="A2:F2"/>
    <mergeCell ref="A121:B121"/>
    <mergeCell ref="E6:G7"/>
    <mergeCell ref="A6:A8"/>
    <mergeCell ref="B6:B8"/>
    <mergeCell ref="C6:C8"/>
    <mergeCell ref="D6:D8"/>
    <mergeCell ref="A115:B115"/>
    <mergeCell ref="A116:B116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G123"/>
  <sheetViews>
    <sheetView view="pageBreakPreview" zoomScaleSheetLayoutView="100" workbookViewId="0" topLeftCell="A115">
      <selection activeCell="G122" sqref="G122"/>
    </sheetView>
  </sheetViews>
  <sheetFormatPr defaultColWidth="9.33203125" defaultRowHeight="12.75"/>
  <cols>
    <col min="1" max="1" width="15.66015625" style="91" customWidth="1"/>
    <col min="2" max="2" width="55" style="18" customWidth="1"/>
    <col min="3" max="3" width="17" style="18" customWidth="1"/>
    <col min="4" max="4" width="15.33203125" style="4" customWidth="1"/>
    <col min="5" max="5" width="17.66015625" style="4" customWidth="1"/>
    <col min="6" max="6" width="0.82421875" style="4" hidden="1" customWidth="1"/>
    <col min="7" max="7" width="17.16015625" style="4" customWidth="1"/>
    <col min="8" max="16384" width="9.33203125" style="4" customWidth="1"/>
  </cols>
  <sheetData>
    <row r="1" spans="1:7" ht="77.25" customHeight="1">
      <c r="A1" s="55"/>
      <c r="B1" s="17"/>
      <c r="C1" s="17"/>
      <c r="D1" s="284" t="s">
        <v>375</v>
      </c>
      <c r="E1" s="284"/>
      <c r="F1" s="284"/>
      <c r="G1" s="284"/>
    </row>
    <row r="2" spans="1:7" ht="18" customHeight="1">
      <c r="A2" s="285" t="s">
        <v>133</v>
      </c>
      <c r="B2" s="286"/>
      <c r="C2" s="286"/>
      <c r="D2" s="286"/>
      <c r="E2" s="286"/>
      <c r="F2" s="286"/>
      <c r="G2" s="3"/>
    </row>
    <row r="3" spans="1:7" s="54" customFormat="1" ht="12.75">
      <c r="A3" s="55"/>
      <c r="B3" s="30"/>
      <c r="C3" s="30"/>
      <c r="D3" s="56"/>
      <c r="E3" s="56"/>
      <c r="F3" s="56"/>
      <c r="G3" s="57" t="s">
        <v>72</v>
      </c>
    </row>
    <row r="4" spans="1:7" s="54" customFormat="1" ht="12.75" hidden="1">
      <c r="A4" s="55"/>
      <c r="B4" s="30"/>
      <c r="C4" s="30"/>
      <c r="D4" s="56"/>
      <c r="E4" s="56"/>
      <c r="F4" s="56"/>
      <c r="G4" s="56"/>
    </row>
    <row r="5" spans="1:7" s="54" customFormat="1" ht="12.75" hidden="1">
      <c r="A5" s="55"/>
      <c r="B5" s="30"/>
      <c r="C5" s="30"/>
      <c r="D5" s="56"/>
      <c r="E5" s="56"/>
      <c r="F5" s="56"/>
      <c r="G5" s="56"/>
    </row>
    <row r="6" spans="1:7" s="54" customFormat="1" ht="15.75" customHeight="1">
      <c r="A6" s="295" t="s">
        <v>122</v>
      </c>
      <c r="B6" s="295" t="s">
        <v>134</v>
      </c>
      <c r="C6" s="295" t="s">
        <v>0</v>
      </c>
      <c r="D6" s="298" t="s">
        <v>1</v>
      </c>
      <c r="E6" s="289" t="s">
        <v>2</v>
      </c>
      <c r="F6" s="290"/>
      <c r="G6" s="291"/>
    </row>
    <row r="7" spans="1:7" s="54" customFormat="1" ht="18.75" customHeight="1">
      <c r="A7" s="296"/>
      <c r="B7" s="296"/>
      <c r="C7" s="296"/>
      <c r="D7" s="299"/>
      <c r="E7" s="292"/>
      <c r="F7" s="293"/>
      <c r="G7" s="294"/>
    </row>
    <row r="8" spans="1:7" s="54" customFormat="1" ht="24" customHeight="1">
      <c r="A8" s="297"/>
      <c r="B8" s="297"/>
      <c r="C8" s="297"/>
      <c r="D8" s="297"/>
      <c r="E8" s="58" t="s">
        <v>0</v>
      </c>
      <c r="F8" s="58"/>
      <c r="G8" s="58" t="s">
        <v>135</v>
      </c>
    </row>
    <row r="9" spans="1:7" s="54" customFormat="1" ht="12.75">
      <c r="A9" s="59">
        <v>1</v>
      </c>
      <c r="B9" s="60">
        <v>2</v>
      </c>
      <c r="C9" s="60">
        <v>3</v>
      </c>
      <c r="D9" s="59">
        <v>3</v>
      </c>
      <c r="E9" s="59">
        <v>4</v>
      </c>
      <c r="F9" s="59">
        <v>5</v>
      </c>
      <c r="G9" s="59">
        <v>6</v>
      </c>
    </row>
    <row r="10" spans="1:7" s="54" customFormat="1" ht="12.75" hidden="1">
      <c r="A10" s="59"/>
      <c r="B10" s="60"/>
      <c r="C10" s="60"/>
      <c r="D10" s="59"/>
      <c r="E10" s="59"/>
      <c r="F10" s="59"/>
      <c r="G10" s="59"/>
    </row>
    <row r="11" spans="1:7" s="54" customFormat="1" ht="12.75">
      <c r="A11" s="61">
        <v>10000000</v>
      </c>
      <c r="B11" s="62" t="s">
        <v>136</v>
      </c>
      <c r="C11" s="63">
        <f aca="true" t="shared" si="0" ref="C11:C42">D11+E11</f>
        <v>56462600</v>
      </c>
      <c r="D11" s="64">
        <f>D12+D22+D25+D27+D47</f>
        <v>56462600</v>
      </c>
      <c r="E11" s="64">
        <f>E12+E22+E25+E27+E47</f>
        <v>0</v>
      </c>
      <c r="F11" s="64" t="e">
        <f>F12+#REF!+#REF!+F33+F50+#REF!+F70</f>
        <v>#REF!</v>
      </c>
      <c r="G11" s="64">
        <f>G12+G22+G25+G27+G47</f>
        <v>0</v>
      </c>
    </row>
    <row r="12" spans="1:7" s="54" customFormat="1" ht="25.5">
      <c r="A12" s="65">
        <v>11000000</v>
      </c>
      <c r="B12" s="66" t="s">
        <v>137</v>
      </c>
      <c r="C12" s="63">
        <f t="shared" si="0"/>
        <v>28304000</v>
      </c>
      <c r="D12" s="58">
        <f>D19+D13</f>
        <v>28304000</v>
      </c>
      <c r="E12" s="67">
        <f>E19</f>
        <v>0</v>
      </c>
      <c r="F12" s="58"/>
      <c r="G12" s="67">
        <f>G19</f>
        <v>0</v>
      </c>
    </row>
    <row r="13" spans="1:7" s="54" customFormat="1" ht="12.75">
      <c r="A13" s="68">
        <v>11010000</v>
      </c>
      <c r="B13" s="69" t="s">
        <v>138</v>
      </c>
      <c r="C13" s="63">
        <f t="shared" si="0"/>
        <v>28300000</v>
      </c>
      <c r="D13" s="70">
        <f>SUM(D14:D18)</f>
        <v>28300000</v>
      </c>
      <c r="E13" s="67">
        <f>SUM(E14:E18)</f>
        <v>0</v>
      </c>
      <c r="F13" s="67">
        <f>SUM(F14:F18)</f>
        <v>550000</v>
      </c>
      <c r="G13" s="67">
        <f>SUM(G14:G18)</f>
        <v>0</v>
      </c>
    </row>
    <row r="14" spans="1:7" s="54" customFormat="1" ht="38.25">
      <c r="A14" s="71">
        <v>11010100</v>
      </c>
      <c r="B14" s="72" t="s">
        <v>139</v>
      </c>
      <c r="C14" s="63">
        <f t="shared" si="0"/>
        <v>24950000</v>
      </c>
      <c r="D14" s="73">
        <f>24650000+300000</f>
        <v>24950000</v>
      </c>
      <c r="E14" s="58">
        <v>0</v>
      </c>
      <c r="F14" s="58"/>
      <c r="G14" s="58">
        <v>0</v>
      </c>
    </row>
    <row r="15" spans="1:7" s="54" customFormat="1" ht="63.75">
      <c r="A15" s="71">
        <v>11010200</v>
      </c>
      <c r="B15" s="72" t="s">
        <v>140</v>
      </c>
      <c r="C15" s="63">
        <f t="shared" si="0"/>
        <v>550000</v>
      </c>
      <c r="D15" s="73">
        <v>550000</v>
      </c>
      <c r="E15" s="58">
        <v>0</v>
      </c>
      <c r="F15" s="58">
        <f>SUM(D15:E15)</f>
        <v>550000</v>
      </c>
      <c r="G15" s="58">
        <v>0</v>
      </c>
    </row>
    <row r="16" spans="1:7" s="54" customFormat="1" ht="38.25">
      <c r="A16" s="71">
        <v>11010400</v>
      </c>
      <c r="B16" s="72" t="s">
        <v>141</v>
      </c>
      <c r="C16" s="63">
        <f t="shared" si="0"/>
        <v>2000000</v>
      </c>
      <c r="D16" s="73">
        <v>2000000</v>
      </c>
      <c r="E16" s="58">
        <v>0</v>
      </c>
      <c r="F16" s="58"/>
      <c r="G16" s="58">
        <v>0</v>
      </c>
    </row>
    <row r="17" spans="1:7" s="54" customFormat="1" ht="38.25">
      <c r="A17" s="71">
        <v>11010500</v>
      </c>
      <c r="B17" s="72" t="s">
        <v>142</v>
      </c>
      <c r="C17" s="63">
        <f t="shared" si="0"/>
        <v>700000</v>
      </c>
      <c r="D17" s="73">
        <v>700000</v>
      </c>
      <c r="E17" s="58">
        <v>0</v>
      </c>
      <c r="F17" s="58"/>
      <c r="G17" s="58">
        <v>0</v>
      </c>
    </row>
    <row r="18" spans="1:7" s="54" customFormat="1" ht="63.75">
      <c r="A18" s="71">
        <v>11010900</v>
      </c>
      <c r="B18" s="72" t="s">
        <v>143</v>
      </c>
      <c r="C18" s="63">
        <f t="shared" si="0"/>
        <v>100000</v>
      </c>
      <c r="D18" s="73">
        <v>100000</v>
      </c>
      <c r="E18" s="58">
        <v>0</v>
      </c>
      <c r="F18" s="58"/>
      <c r="G18" s="58">
        <v>0</v>
      </c>
    </row>
    <row r="19" spans="1:7" s="54" customFormat="1" ht="18" customHeight="1">
      <c r="A19" s="74">
        <v>11020000</v>
      </c>
      <c r="B19" s="75" t="s">
        <v>144</v>
      </c>
      <c r="C19" s="63">
        <f t="shared" si="0"/>
        <v>4000</v>
      </c>
      <c r="D19" s="58">
        <f>D20</f>
        <v>4000</v>
      </c>
      <c r="E19" s="58">
        <f>E20</f>
        <v>0</v>
      </c>
      <c r="F19" s="58"/>
      <c r="G19" s="58">
        <v>0</v>
      </c>
    </row>
    <row r="20" spans="1:7" s="54" customFormat="1" ht="25.5">
      <c r="A20" s="76">
        <v>11020200</v>
      </c>
      <c r="B20" s="77" t="s">
        <v>145</v>
      </c>
      <c r="C20" s="63">
        <f t="shared" si="0"/>
        <v>4000</v>
      </c>
      <c r="D20" s="58">
        <v>4000</v>
      </c>
      <c r="E20" s="58">
        <v>0</v>
      </c>
      <c r="F20" s="58"/>
      <c r="G20" s="58">
        <v>0</v>
      </c>
    </row>
    <row r="21" spans="1:7" s="54" customFormat="1" ht="15.75" customHeight="1" hidden="1">
      <c r="A21" s="76">
        <v>12000000</v>
      </c>
      <c r="B21" s="77" t="s">
        <v>146</v>
      </c>
      <c r="C21" s="63">
        <f t="shared" si="0"/>
        <v>0</v>
      </c>
      <c r="D21" s="58">
        <v>0</v>
      </c>
      <c r="E21" s="58">
        <v>0</v>
      </c>
      <c r="F21" s="58"/>
      <c r="G21" s="58">
        <f>D21</f>
        <v>0</v>
      </c>
    </row>
    <row r="22" spans="1:7" s="54" customFormat="1" ht="25.5">
      <c r="A22" s="76">
        <v>13000000</v>
      </c>
      <c r="B22" s="77" t="s">
        <v>147</v>
      </c>
      <c r="C22" s="63">
        <f t="shared" si="0"/>
        <v>1435000</v>
      </c>
      <c r="D22" s="58">
        <f>D23</f>
        <v>1435000</v>
      </c>
      <c r="E22" s="58">
        <f>E23</f>
        <v>0</v>
      </c>
      <c r="F22" s="58"/>
      <c r="G22" s="58">
        <v>0</v>
      </c>
    </row>
    <row r="23" spans="1:7" s="54" customFormat="1" ht="25.5">
      <c r="A23" s="76">
        <v>13010000</v>
      </c>
      <c r="B23" s="77" t="s">
        <v>148</v>
      </c>
      <c r="C23" s="63">
        <f t="shared" si="0"/>
        <v>1435000</v>
      </c>
      <c r="D23" s="58">
        <f>D24</f>
        <v>1435000</v>
      </c>
      <c r="E23" s="58">
        <f>E24</f>
        <v>0</v>
      </c>
      <c r="F23" s="58"/>
      <c r="G23" s="58">
        <v>0</v>
      </c>
    </row>
    <row r="24" spans="1:7" s="54" customFormat="1" ht="51">
      <c r="A24" s="76">
        <v>13010200</v>
      </c>
      <c r="B24" s="77" t="s">
        <v>149</v>
      </c>
      <c r="C24" s="63">
        <f t="shared" si="0"/>
        <v>1435000</v>
      </c>
      <c r="D24" s="58">
        <f>600000+130000+705000</f>
        <v>1435000</v>
      </c>
      <c r="E24" s="58">
        <v>0</v>
      </c>
      <c r="F24" s="58"/>
      <c r="G24" s="58">
        <v>0</v>
      </c>
    </row>
    <row r="25" spans="1:7" s="54" customFormat="1" ht="18" customHeight="1">
      <c r="A25" s="76">
        <v>14000000</v>
      </c>
      <c r="B25" s="77" t="s">
        <v>150</v>
      </c>
      <c r="C25" s="63">
        <f t="shared" si="0"/>
        <v>9490000</v>
      </c>
      <c r="D25" s="58">
        <f>D26</f>
        <v>9490000</v>
      </c>
      <c r="E25" s="58">
        <f>E26</f>
        <v>0</v>
      </c>
      <c r="F25" s="58"/>
      <c r="G25" s="58">
        <v>0</v>
      </c>
    </row>
    <row r="26" spans="1:7" s="54" customFormat="1" ht="25.5">
      <c r="A26" s="76">
        <v>14040000</v>
      </c>
      <c r="B26" s="77" t="s">
        <v>151</v>
      </c>
      <c r="C26" s="63">
        <f t="shared" si="0"/>
        <v>9490000</v>
      </c>
      <c r="D26" s="58">
        <f>9420000+70000</f>
        <v>9490000</v>
      </c>
      <c r="E26" s="58">
        <v>0</v>
      </c>
      <c r="F26" s="58"/>
      <c r="G26" s="58">
        <v>0</v>
      </c>
    </row>
    <row r="27" spans="1:7" s="54" customFormat="1" ht="17.25" customHeight="1">
      <c r="A27" s="61">
        <v>18000000</v>
      </c>
      <c r="B27" s="78" t="s">
        <v>152</v>
      </c>
      <c r="C27" s="63">
        <f t="shared" si="0"/>
        <v>17233600</v>
      </c>
      <c r="D27" s="67">
        <f>D28+D42+D39</f>
        <v>17233600</v>
      </c>
      <c r="E27" s="67">
        <f>E28+E42</f>
        <v>0</v>
      </c>
      <c r="F27" s="67"/>
      <c r="G27" s="67">
        <v>0</v>
      </c>
    </row>
    <row r="28" spans="1:7" s="54" customFormat="1" ht="12.75">
      <c r="A28" s="76">
        <v>18010000</v>
      </c>
      <c r="B28" s="77" t="s">
        <v>153</v>
      </c>
      <c r="C28" s="63">
        <f t="shared" si="0"/>
        <v>6812100</v>
      </c>
      <c r="D28" s="58">
        <f>D29+D30+D31+D32+D33+D34+D35+D36+D37+D38</f>
        <v>6812100</v>
      </c>
      <c r="E28" s="58">
        <f>E29+E30+E31+E32+E33+E34+E35+E36+E37+E38</f>
        <v>0</v>
      </c>
      <c r="F28" s="58"/>
      <c r="G28" s="58">
        <v>0</v>
      </c>
    </row>
    <row r="29" spans="1:7" s="54" customFormat="1" ht="38.25">
      <c r="A29" s="76">
        <v>18010100</v>
      </c>
      <c r="B29" s="77" t="s">
        <v>154</v>
      </c>
      <c r="C29" s="63">
        <f t="shared" si="0"/>
        <v>105000</v>
      </c>
      <c r="D29" s="58">
        <f>100000+5000</f>
        <v>105000</v>
      </c>
      <c r="E29" s="58">
        <v>0</v>
      </c>
      <c r="F29" s="58"/>
      <c r="G29" s="58">
        <v>0</v>
      </c>
    </row>
    <row r="30" spans="1:7" s="54" customFormat="1" ht="38.25">
      <c r="A30" s="76">
        <v>18010200</v>
      </c>
      <c r="B30" s="77" t="s">
        <v>155</v>
      </c>
      <c r="C30" s="63">
        <f t="shared" si="0"/>
        <v>205000</v>
      </c>
      <c r="D30" s="58">
        <f>200000+5000</f>
        <v>205000</v>
      </c>
      <c r="E30" s="58">
        <v>0</v>
      </c>
      <c r="F30" s="58"/>
      <c r="G30" s="58">
        <v>0</v>
      </c>
    </row>
    <row r="31" spans="1:7" s="54" customFormat="1" ht="38.25">
      <c r="A31" s="76">
        <v>18010300</v>
      </c>
      <c r="B31" s="77" t="s">
        <v>156</v>
      </c>
      <c r="C31" s="63">
        <f t="shared" si="0"/>
        <v>352000</v>
      </c>
      <c r="D31" s="58">
        <f>326000+26000</f>
        <v>352000</v>
      </c>
      <c r="E31" s="58">
        <v>0</v>
      </c>
      <c r="F31" s="58"/>
      <c r="G31" s="58">
        <v>0</v>
      </c>
    </row>
    <row r="32" spans="1:7" s="54" customFormat="1" ht="38.25">
      <c r="A32" s="76">
        <v>18010400</v>
      </c>
      <c r="B32" s="77" t="s">
        <v>157</v>
      </c>
      <c r="C32" s="63">
        <f t="shared" si="0"/>
        <v>587000</v>
      </c>
      <c r="D32" s="58">
        <f>555000+32000</f>
        <v>587000</v>
      </c>
      <c r="E32" s="58">
        <v>0</v>
      </c>
      <c r="F32" s="58"/>
      <c r="G32" s="58">
        <v>0</v>
      </c>
    </row>
    <row r="33" spans="1:7" s="54" customFormat="1" ht="12.75">
      <c r="A33" s="76">
        <v>18010500</v>
      </c>
      <c r="B33" s="77" t="s">
        <v>158</v>
      </c>
      <c r="C33" s="63">
        <f t="shared" si="0"/>
        <v>1577000</v>
      </c>
      <c r="D33" s="58">
        <f>1367000+210000</f>
        <v>1577000</v>
      </c>
      <c r="E33" s="58">
        <v>0</v>
      </c>
      <c r="F33" s="67"/>
      <c r="G33" s="58">
        <v>0</v>
      </c>
    </row>
    <row r="34" spans="1:7" s="54" customFormat="1" ht="12.75">
      <c r="A34" s="76">
        <v>18010600</v>
      </c>
      <c r="B34" s="77" t="s">
        <v>159</v>
      </c>
      <c r="C34" s="63">
        <f t="shared" si="0"/>
        <v>2498700</v>
      </c>
      <c r="D34" s="58">
        <f>2184700+70000+244000</f>
        <v>2498700</v>
      </c>
      <c r="E34" s="58">
        <v>0</v>
      </c>
      <c r="F34" s="58"/>
      <c r="G34" s="58">
        <v>0</v>
      </c>
    </row>
    <row r="35" spans="1:7" s="54" customFormat="1" ht="24" customHeight="1">
      <c r="A35" s="76">
        <v>18010700</v>
      </c>
      <c r="B35" s="77" t="s">
        <v>160</v>
      </c>
      <c r="C35" s="63">
        <f t="shared" si="0"/>
        <v>482400</v>
      </c>
      <c r="D35" s="58">
        <f>432400+50000</f>
        <v>482400</v>
      </c>
      <c r="E35" s="58">
        <v>0</v>
      </c>
      <c r="F35" s="58"/>
      <c r="G35" s="58">
        <v>0</v>
      </c>
    </row>
    <row r="36" spans="1:7" s="54" customFormat="1" ht="25.5" customHeight="1">
      <c r="A36" s="76">
        <v>18010900</v>
      </c>
      <c r="B36" s="77" t="s">
        <v>161</v>
      </c>
      <c r="C36" s="63">
        <f t="shared" si="0"/>
        <v>950000</v>
      </c>
      <c r="D36" s="58">
        <f>860000+90000</f>
        <v>950000</v>
      </c>
      <c r="E36" s="58">
        <f>E49</f>
        <v>0</v>
      </c>
      <c r="F36" s="58"/>
      <c r="G36" s="58">
        <v>0</v>
      </c>
    </row>
    <row r="37" spans="1:7" s="54" customFormat="1" ht="24.75" customHeight="1">
      <c r="A37" s="76">
        <v>18011000</v>
      </c>
      <c r="B37" s="77" t="s">
        <v>162</v>
      </c>
      <c r="C37" s="63">
        <f t="shared" si="0"/>
        <v>50000</v>
      </c>
      <c r="D37" s="58">
        <v>50000</v>
      </c>
      <c r="E37" s="58">
        <v>0</v>
      </c>
      <c r="F37" s="58"/>
      <c r="G37" s="58">
        <v>0</v>
      </c>
    </row>
    <row r="38" spans="1:7" s="54" customFormat="1" ht="27" customHeight="1">
      <c r="A38" s="76">
        <v>18011100</v>
      </c>
      <c r="B38" s="77" t="s">
        <v>163</v>
      </c>
      <c r="C38" s="63">
        <f t="shared" si="0"/>
        <v>5000</v>
      </c>
      <c r="D38" s="58">
        <v>5000</v>
      </c>
      <c r="E38" s="58">
        <v>0</v>
      </c>
      <c r="F38" s="58"/>
      <c r="G38" s="58">
        <v>0</v>
      </c>
    </row>
    <row r="39" spans="1:7" s="79" customFormat="1" ht="27" customHeight="1">
      <c r="A39" s="61">
        <v>18030000</v>
      </c>
      <c r="B39" s="78" t="s">
        <v>164</v>
      </c>
      <c r="C39" s="63">
        <f t="shared" si="0"/>
        <v>4000</v>
      </c>
      <c r="D39" s="67">
        <f>D40</f>
        <v>4000</v>
      </c>
      <c r="E39" s="67">
        <f>E40</f>
        <v>0</v>
      </c>
      <c r="F39" s="67"/>
      <c r="G39" s="58">
        <v>0</v>
      </c>
    </row>
    <row r="40" spans="1:7" s="54" customFormat="1" ht="27" customHeight="1">
      <c r="A40" s="76">
        <v>18030200</v>
      </c>
      <c r="B40" s="77" t="s">
        <v>165</v>
      </c>
      <c r="C40" s="63">
        <f t="shared" si="0"/>
        <v>4000</v>
      </c>
      <c r="D40" s="58">
        <v>4000</v>
      </c>
      <c r="E40" s="58">
        <v>0</v>
      </c>
      <c r="F40" s="58"/>
      <c r="G40" s="58">
        <v>0</v>
      </c>
    </row>
    <row r="41" spans="1:7" s="54" customFormat="1" ht="23.25" customHeight="1" hidden="1">
      <c r="A41" s="76"/>
      <c r="B41" s="77"/>
      <c r="C41" s="63">
        <f t="shared" si="0"/>
        <v>0</v>
      </c>
      <c r="D41" s="58"/>
      <c r="E41" s="58"/>
      <c r="F41" s="58"/>
      <c r="G41" s="58"/>
    </row>
    <row r="42" spans="1:7" s="54" customFormat="1" ht="12.75">
      <c r="A42" s="61">
        <v>18050000</v>
      </c>
      <c r="B42" s="78" t="s">
        <v>166</v>
      </c>
      <c r="C42" s="63">
        <f t="shared" si="0"/>
        <v>10417500</v>
      </c>
      <c r="D42" s="67">
        <f>D43+D44+D45</f>
        <v>10417500</v>
      </c>
      <c r="E42" s="67">
        <f>E43+E44</f>
        <v>0</v>
      </c>
      <c r="F42" s="67"/>
      <c r="G42" s="67">
        <v>0</v>
      </c>
    </row>
    <row r="43" spans="1:7" s="54" customFormat="1" ht="12.75">
      <c r="A43" s="76">
        <v>18050300</v>
      </c>
      <c r="B43" s="77" t="s">
        <v>167</v>
      </c>
      <c r="C43" s="63">
        <f aca="true" t="shared" si="1" ref="C43:C78">D43+E43</f>
        <v>2207000</v>
      </c>
      <c r="D43" s="58">
        <f>2000000+35000+120000+52000</f>
        <v>2207000</v>
      </c>
      <c r="E43" s="58">
        <v>0</v>
      </c>
      <c r="F43" s="58"/>
      <c r="G43" s="58">
        <v>0</v>
      </c>
    </row>
    <row r="44" spans="1:7" s="54" customFormat="1" ht="12.75">
      <c r="A44" s="76">
        <v>18050400</v>
      </c>
      <c r="B44" s="77" t="s">
        <v>168</v>
      </c>
      <c r="C44" s="63">
        <f t="shared" si="1"/>
        <v>7810500</v>
      </c>
      <c r="D44" s="58">
        <f>6513500+115000+404000+400000+378000</f>
        <v>7810500</v>
      </c>
      <c r="E44" s="58">
        <v>0</v>
      </c>
      <c r="F44" s="58"/>
      <c r="G44" s="58">
        <v>0</v>
      </c>
    </row>
    <row r="45" spans="1:7" s="54" customFormat="1" ht="12.75">
      <c r="A45" s="76">
        <v>18050500</v>
      </c>
      <c r="B45" s="77" t="s">
        <v>169</v>
      </c>
      <c r="C45" s="63">
        <f t="shared" si="1"/>
        <v>400000</v>
      </c>
      <c r="D45" s="58">
        <v>400000</v>
      </c>
      <c r="E45" s="58">
        <v>0</v>
      </c>
      <c r="F45" s="58"/>
      <c r="G45" s="58">
        <v>0</v>
      </c>
    </row>
    <row r="46" spans="1:7" s="54" customFormat="1" ht="12.75">
      <c r="A46" s="76"/>
      <c r="B46" s="77"/>
      <c r="C46" s="63">
        <f t="shared" si="1"/>
        <v>0</v>
      </c>
      <c r="D46" s="58"/>
      <c r="E46" s="58"/>
      <c r="F46" s="58"/>
      <c r="G46" s="58"/>
    </row>
    <row r="47" spans="1:7" s="54" customFormat="1" ht="12.75">
      <c r="A47" s="61">
        <v>19000000</v>
      </c>
      <c r="B47" s="78" t="s">
        <v>170</v>
      </c>
      <c r="C47" s="63">
        <f t="shared" si="1"/>
        <v>0</v>
      </c>
      <c r="D47" s="67">
        <f>D48</f>
        <v>0</v>
      </c>
      <c r="E47" s="67">
        <f>E48</f>
        <v>0</v>
      </c>
      <c r="F47" s="67"/>
      <c r="G47" s="67">
        <f>D47+E47</f>
        <v>0</v>
      </c>
    </row>
    <row r="48" spans="1:7" s="54" customFormat="1" ht="12.75">
      <c r="A48" s="76">
        <v>19010000</v>
      </c>
      <c r="B48" s="77" t="s">
        <v>171</v>
      </c>
      <c r="C48" s="63">
        <f t="shared" si="1"/>
        <v>0</v>
      </c>
      <c r="D48" s="58">
        <f>D49+D50+D51</f>
        <v>0</v>
      </c>
      <c r="E48" s="58">
        <f>E49+E50</f>
        <v>0</v>
      </c>
      <c r="F48" s="58"/>
      <c r="G48" s="58">
        <f>D48+E48</f>
        <v>0</v>
      </c>
    </row>
    <row r="49" spans="1:7" s="54" customFormat="1" ht="38.25">
      <c r="A49" s="76">
        <v>19010100</v>
      </c>
      <c r="B49" s="77" t="s">
        <v>172</v>
      </c>
      <c r="C49" s="63">
        <f t="shared" si="1"/>
        <v>0</v>
      </c>
      <c r="D49" s="58">
        <v>0</v>
      </c>
      <c r="E49" s="58">
        <v>0</v>
      </c>
      <c r="F49" s="58"/>
      <c r="G49" s="58">
        <f>D49+E49</f>
        <v>0</v>
      </c>
    </row>
    <row r="50" spans="1:7" s="54" customFormat="1" ht="25.5">
      <c r="A50" s="76">
        <v>19010200</v>
      </c>
      <c r="B50" s="77" t="s">
        <v>173</v>
      </c>
      <c r="C50" s="63">
        <f t="shared" si="1"/>
        <v>0</v>
      </c>
      <c r="D50" s="58">
        <v>0</v>
      </c>
      <c r="E50" s="58">
        <v>0</v>
      </c>
      <c r="F50" s="58"/>
      <c r="G50" s="58">
        <f>D50+E50</f>
        <v>0</v>
      </c>
    </row>
    <row r="51" spans="1:7" s="54" customFormat="1" ht="51">
      <c r="A51" s="76">
        <v>19010300</v>
      </c>
      <c r="B51" s="77" t="s">
        <v>174</v>
      </c>
      <c r="C51" s="63">
        <f t="shared" si="1"/>
        <v>0</v>
      </c>
      <c r="D51" s="58">
        <v>0</v>
      </c>
      <c r="E51" s="58">
        <v>0</v>
      </c>
      <c r="F51" s="58"/>
      <c r="G51" s="58">
        <f>D51+E51</f>
        <v>0</v>
      </c>
    </row>
    <row r="52" spans="1:7" s="54" customFormat="1" ht="12.75">
      <c r="A52" s="61">
        <v>20000000</v>
      </c>
      <c r="B52" s="62" t="s">
        <v>175</v>
      </c>
      <c r="C52" s="63">
        <f t="shared" si="1"/>
        <v>1602800</v>
      </c>
      <c r="D52" s="67">
        <f>D59+D70+D53+D74</f>
        <v>701800</v>
      </c>
      <c r="E52" s="67">
        <f>E59+E70+E53+E74</f>
        <v>901000</v>
      </c>
      <c r="F52" s="67"/>
      <c r="G52" s="67">
        <f>G59+G70+G53+G74</f>
        <v>0</v>
      </c>
    </row>
    <row r="53" spans="1:7" s="54" customFormat="1" ht="12.75">
      <c r="A53" s="76">
        <v>21000000</v>
      </c>
      <c r="B53" s="80" t="s">
        <v>176</v>
      </c>
      <c r="C53" s="63">
        <f t="shared" si="1"/>
        <v>87000</v>
      </c>
      <c r="D53" s="58">
        <f>D54</f>
        <v>87000</v>
      </c>
      <c r="E53" s="58">
        <f>E54+E56+E57</f>
        <v>0</v>
      </c>
      <c r="F53" s="58"/>
      <c r="G53" s="58">
        <v>0</v>
      </c>
    </row>
    <row r="54" spans="1:7" s="54" customFormat="1" ht="12.75">
      <c r="A54" s="61">
        <v>21080000</v>
      </c>
      <c r="B54" s="62" t="s">
        <v>177</v>
      </c>
      <c r="C54" s="63">
        <f t="shared" si="1"/>
        <v>87000</v>
      </c>
      <c r="D54" s="67">
        <f>D55+D56+D57</f>
        <v>87000</v>
      </c>
      <c r="E54" s="67">
        <f>E55</f>
        <v>0</v>
      </c>
      <c r="F54" s="67"/>
      <c r="G54" s="67">
        <f>G55</f>
        <v>0</v>
      </c>
    </row>
    <row r="55" spans="1:7" s="54" customFormat="1" ht="12.75">
      <c r="A55" s="76">
        <v>21080500</v>
      </c>
      <c r="B55" s="80" t="s">
        <v>177</v>
      </c>
      <c r="C55" s="63">
        <f t="shared" si="1"/>
        <v>20000</v>
      </c>
      <c r="D55" s="58">
        <f>17000+3000</f>
        <v>20000</v>
      </c>
      <c r="E55" s="58">
        <v>0</v>
      </c>
      <c r="F55" s="58"/>
      <c r="G55" s="58">
        <v>0</v>
      </c>
    </row>
    <row r="56" spans="1:7" s="54" customFormat="1" ht="12.75">
      <c r="A56" s="76">
        <v>21081100</v>
      </c>
      <c r="B56" s="80" t="s">
        <v>178</v>
      </c>
      <c r="C56" s="63">
        <f t="shared" si="1"/>
        <v>7000</v>
      </c>
      <c r="D56" s="58">
        <v>7000</v>
      </c>
      <c r="E56" s="58">
        <v>0</v>
      </c>
      <c r="F56" s="58"/>
      <c r="G56" s="58">
        <v>0</v>
      </c>
    </row>
    <row r="57" spans="1:7" s="54" customFormat="1" ht="38.25">
      <c r="A57" s="76">
        <v>21081500</v>
      </c>
      <c r="B57" s="80" t="s">
        <v>179</v>
      </c>
      <c r="C57" s="63">
        <f t="shared" si="1"/>
        <v>60000</v>
      </c>
      <c r="D57" s="58">
        <v>60000</v>
      </c>
      <c r="E57" s="58">
        <v>0</v>
      </c>
      <c r="F57" s="58"/>
      <c r="G57" s="58">
        <v>0</v>
      </c>
    </row>
    <row r="58" spans="1:7" s="54" customFormat="1" ht="12.75" hidden="1">
      <c r="A58" s="61"/>
      <c r="B58" s="62"/>
      <c r="C58" s="63">
        <f t="shared" si="1"/>
        <v>0</v>
      </c>
      <c r="D58" s="67"/>
      <c r="E58" s="67"/>
      <c r="F58" s="67"/>
      <c r="G58" s="67"/>
    </row>
    <row r="59" spans="1:7" s="54" customFormat="1" ht="25.5">
      <c r="A59" s="76">
        <v>22000000</v>
      </c>
      <c r="B59" s="77" t="s">
        <v>180</v>
      </c>
      <c r="C59" s="63">
        <f>D59+E59</f>
        <v>564800</v>
      </c>
      <c r="D59" s="58">
        <f>D66+D61+D65+D60+D62+D63+D64</f>
        <v>564800</v>
      </c>
      <c r="E59" s="58">
        <f>E66+E61+E65+E60+E62+E63+E64</f>
        <v>0</v>
      </c>
      <c r="F59" s="58">
        <f>F66+F61+F65+F60+F62+F63+F64</f>
        <v>0</v>
      </c>
      <c r="G59" s="58">
        <f>G66+G61+G65+G60+G62+G63+G64</f>
        <v>0</v>
      </c>
    </row>
    <row r="60" spans="1:7" s="54" customFormat="1" ht="38.25">
      <c r="A60" s="76">
        <v>22010300</v>
      </c>
      <c r="B60" s="77" t="s">
        <v>224</v>
      </c>
      <c r="C60" s="63">
        <f t="shared" si="1"/>
        <v>10000</v>
      </c>
      <c r="D60" s="58">
        <v>10000</v>
      </c>
      <c r="E60" s="58">
        <v>0</v>
      </c>
      <c r="F60" s="58"/>
      <c r="G60" s="58">
        <v>0</v>
      </c>
    </row>
    <row r="61" spans="1:7" s="54" customFormat="1" ht="12.75">
      <c r="A61" s="76">
        <v>22012500</v>
      </c>
      <c r="B61" s="77" t="s">
        <v>181</v>
      </c>
      <c r="C61" s="63">
        <f t="shared" si="1"/>
        <v>358800</v>
      </c>
      <c r="D61" s="58">
        <v>358800</v>
      </c>
      <c r="E61" s="58">
        <v>0</v>
      </c>
      <c r="F61" s="58"/>
      <c r="G61" s="58">
        <v>0</v>
      </c>
    </row>
    <row r="62" spans="1:7" s="54" customFormat="1" ht="38.25">
      <c r="A62" s="76">
        <v>22012600</v>
      </c>
      <c r="B62" s="77" t="s">
        <v>225</v>
      </c>
      <c r="C62" s="63">
        <f t="shared" si="1"/>
        <v>10000</v>
      </c>
      <c r="D62" s="58">
        <v>10000</v>
      </c>
      <c r="E62" s="58">
        <v>0</v>
      </c>
      <c r="F62" s="58"/>
      <c r="G62" s="58">
        <v>0</v>
      </c>
    </row>
    <row r="63" spans="1:7" s="54" customFormat="1" ht="76.5">
      <c r="A63" s="76">
        <v>22012700</v>
      </c>
      <c r="B63" s="77" t="s">
        <v>226</v>
      </c>
      <c r="C63" s="63">
        <f t="shared" si="1"/>
        <v>10000</v>
      </c>
      <c r="D63" s="58">
        <v>10000</v>
      </c>
      <c r="E63" s="58">
        <v>0</v>
      </c>
      <c r="F63" s="58"/>
      <c r="G63" s="58">
        <v>0</v>
      </c>
    </row>
    <row r="64" spans="1:7" s="54" customFormat="1" ht="63.75">
      <c r="A64" s="76">
        <v>22012900</v>
      </c>
      <c r="B64" s="77" t="s">
        <v>227</v>
      </c>
      <c r="C64" s="63">
        <f t="shared" si="1"/>
        <v>10000</v>
      </c>
      <c r="D64" s="58">
        <v>10000</v>
      </c>
      <c r="E64" s="58">
        <v>0</v>
      </c>
      <c r="F64" s="58"/>
      <c r="G64" s="58">
        <v>0</v>
      </c>
    </row>
    <row r="65" spans="1:7" s="54" customFormat="1" ht="38.25">
      <c r="A65" s="76">
        <v>22080402</v>
      </c>
      <c r="B65" s="77" t="s">
        <v>182</v>
      </c>
      <c r="C65" s="63">
        <f t="shared" si="1"/>
        <v>106000</v>
      </c>
      <c r="D65" s="58">
        <v>106000</v>
      </c>
      <c r="E65" s="58">
        <v>0</v>
      </c>
      <c r="F65" s="58"/>
      <c r="G65" s="58">
        <v>0</v>
      </c>
    </row>
    <row r="66" spans="1:7" s="54" customFormat="1" ht="12.75">
      <c r="A66" s="61">
        <v>22090000</v>
      </c>
      <c r="B66" s="78" t="s">
        <v>183</v>
      </c>
      <c r="C66" s="63">
        <f t="shared" si="1"/>
        <v>60000</v>
      </c>
      <c r="D66" s="67">
        <f>D67+D68</f>
        <v>60000</v>
      </c>
      <c r="E66" s="67">
        <f>E67+E68</f>
        <v>0</v>
      </c>
      <c r="F66" s="67"/>
      <c r="G66" s="67">
        <f>G67+G68</f>
        <v>0</v>
      </c>
    </row>
    <row r="67" spans="1:7" s="54" customFormat="1" ht="38.25">
      <c r="A67" s="76">
        <v>22090100</v>
      </c>
      <c r="B67" s="77" t="s">
        <v>184</v>
      </c>
      <c r="C67" s="63">
        <f t="shared" si="1"/>
        <v>24000</v>
      </c>
      <c r="D67" s="58">
        <v>24000</v>
      </c>
      <c r="E67" s="58">
        <v>0</v>
      </c>
      <c r="F67" s="58"/>
      <c r="G67" s="58">
        <v>0</v>
      </c>
    </row>
    <row r="68" spans="1:7" s="54" customFormat="1" ht="46.5" customHeight="1">
      <c r="A68" s="76">
        <v>22090400</v>
      </c>
      <c r="B68" s="77" t="s">
        <v>185</v>
      </c>
      <c r="C68" s="63">
        <f t="shared" si="1"/>
        <v>36000</v>
      </c>
      <c r="D68" s="58">
        <v>36000</v>
      </c>
      <c r="E68" s="58">
        <v>0</v>
      </c>
      <c r="F68" s="58"/>
      <c r="G68" s="58">
        <v>0</v>
      </c>
    </row>
    <row r="69" spans="1:7" s="54" customFormat="1" ht="12.75" hidden="1">
      <c r="A69" s="76">
        <v>23000000</v>
      </c>
      <c r="B69" s="77" t="s">
        <v>186</v>
      </c>
      <c r="C69" s="63">
        <f t="shared" si="1"/>
        <v>0</v>
      </c>
      <c r="D69" s="58">
        <v>0</v>
      </c>
      <c r="E69" s="58">
        <v>0</v>
      </c>
      <c r="F69" s="58"/>
      <c r="G69" s="58">
        <f>D69+E69</f>
        <v>0</v>
      </c>
    </row>
    <row r="70" spans="1:7" s="54" customFormat="1" ht="12.75">
      <c r="A70" s="61">
        <v>24000000</v>
      </c>
      <c r="B70" s="78" t="s">
        <v>187</v>
      </c>
      <c r="C70" s="63">
        <f t="shared" si="1"/>
        <v>71000</v>
      </c>
      <c r="D70" s="67">
        <f>D71</f>
        <v>50000</v>
      </c>
      <c r="E70" s="67">
        <f>E71</f>
        <v>21000</v>
      </c>
      <c r="F70" s="67"/>
      <c r="G70" s="67">
        <f>G71</f>
        <v>0</v>
      </c>
    </row>
    <row r="71" spans="1:7" s="54" customFormat="1" ht="12.75">
      <c r="A71" s="76">
        <v>24060000</v>
      </c>
      <c r="B71" s="77" t="s">
        <v>188</v>
      </c>
      <c r="C71" s="63">
        <f t="shared" si="1"/>
        <v>71000</v>
      </c>
      <c r="D71" s="58">
        <f>D73+D72</f>
        <v>50000</v>
      </c>
      <c r="E71" s="58">
        <f>E73+E72</f>
        <v>21000</v>
      </c>
      <c r="F71" s="58"/>
      <c r="G71" s="58">
        <f>G73+G72</f>
        <v>0</v>
      </c>
    </row>
    <row r="72" spans="1:7" s="54" customFormat="1" ht="12.75">
      <c r="A72" s="76">
        <v>24060300</v>
      </c>
      <c r="B72" s="77" t="s">
        <v>177</v>
      </c>
      <c r="C72" s="63">
        <f t="shared" si="1"/>
        <v>50000</v>
      </c>
      <c r="D72" s="58">
        <v>50000</v>
      </c>
      <c r="E72" s="58">
        <v>0</v>
      </c>
      <c r="F72" s="58"/>
      <c r="G72" s="58">
        <v>0</v>
      </c>
    </row>
    <row r="73" spans="1:7" s="54" customFormat="1" ht="51">
      <c r="A73" s="76">
        <v>24062100</v>
      </c>
      <c r="B73" s="77" t="s">
        <v>189</v>
      </c>
      <c r="C73" s="63">
        <f t="shared" si="1"/>
        <v>21000</v>
      </c>
      <c r="D73" s="58">
        <v>0</v>
      </c>
      <c r="E73" s="58">
        <v>21000</v>
      </c>
      <c r="F73" s="58"/>
      <c r="G73" s="58">
        <v>0</v>
      </c>
    </row>
    <row r="74" spans="1:7" s="54" customFormat="1" ht="12.75">
      <c r="A74" s="61">
        <v>25000000</v>
      </c>
      <c r="B74" s="78" t="s">
        <v>190</v>
      </c>
      <c r="C74" s="63">
        <f t="shared" si="1"/>
        <v>880000</v>
      </c>
      <c r="D74" s="67">
        <f>D75</f>
        <v>0</v>
      </c>
      <c r="E74" s="67">
        <f>E75</f>
        <v>880000</v>
      </c>
      <c r="F74" s="67"/>
      <c r="G74" s="67">
        <f>G75</f>
        <v>0</v>
      </c>
    </row>
    <row r="75" spans="1:7" s="54" customFormat="1" ht="25.5">
      <c r="A75" s="76">
        <v>25010100</v>
      </c>
      <c r="B75" s="77" t="s">
        <v>191</v>
      </c>
      <c r="C75" s="63">
        <f t="shared" si="1"/>
        <v>880000</v>
      </c>
      <c r="D75" s="58">
        <v>0</v>
      </c>
      <c r="E75" s="58">
        <v>880000</v>
      </c>
      <c r="F75" s="58"/>
      <c r="G75" s="58">
        <v>0</v>
      </c>
    </row>
    <row r="76" spans="1:7" s="54" customFormat="1" ht="12.75">
      <c r="A76" s="76"/>
      <c r="B76" s="77"/>
      <c r="C76" s="63">
        <f t="shared" si="1"/>
        <v>0</v>
      </c>
      <c r="D76" s="58"/>
      <c r="E76" s="58"/>
      <c r="F76" s="58"/>
      <c r="G76" s="58"/>
    </row>
    <row r="77" spans="1:7" s="54" customFormat="1" ht="12.75">
      <c r="A77" s="61">
        <v>30000000</v>
      </c>
      <c r="B77" s="62" t="s">
        <v>192</v>
      </c>
      <c r="C77" s="63">
        <f t="shared" si="1"/>
        <v>1250000</v>
      </c>
      <c r="D77" s="67">
        <f>D78+D79+D80</f>
        <v>0</v>
      </c>
      <c r="E77" s="67">
        <f>E78+E79+E80</f>
        <v>1250000</v>
      </c>
      <c r="F77" s="67"/>
      <c r="G77" s="67">
        <f>G78+G79+G80</f>
        <v>1250000</v>
      </c>
    </row>
    <row r="78" spans="1:7" s="54" customFormat="1" ht="12.75">
      <c r="A78" s="76">
        <v>31000000</v>
      </c>
      <c r="B78" s="77" t="s">
        <v>193</v>
      </c>
      <c r="C78" s="63">
        <f t="shared" si="1"/>
        <v>0</v>
      </c>
      <c r="D78" s="58">
        <v>0</v>
      </c>
      <c r="E78" s="58">
        <v>0</v>
      </c>
      <c r="F78" s="58"/>
      <c r="G78" s="58">
        <f>D78+E78</f>
        <v>0</v>
      </c>
    </row>
    <row r="79" spans="1:7" s="54" customFormat="1" ht="12.75" hidden="1">
      <c r="A79" s="76">
        <v>32000000</v>
      </c>
      <c r="B79" s="77" t="s">
        <v>194</v>
      </c>
      <c r="C79" s="63">
        <f aca="true" t="shared" si="2" ref="C79:C110">D79+E79</f>
        <v>0</v>
      </c>
      <c r="D79" s="58">
        <v>0</v>
      </c>
      <c r="E79" s="58">
        <v>0</v>
      </c>
      <c r="F79" s="58"/>
      <c r="G79" s="58">
        <f>D79+E79</f>
        <v>0</v>
      </c>
    </row>
    <row r="80" spans="1:7" s="54" customFormat="1" ht="25.5">
      <c r="A80" s="76">
        <v>33000000</v>
      </c>
      <c r="B80" s="77" t="s">
        <v>195</v>
      </c>
      <c r="C80" s="63">
        <f t="shared" si="2"/>
        <v>1250000</v>
      </c>
      <c r="D80" s="58">
        <f>D81</f>
        <v>0</v>
      </c>
      <c r="E80" s="58">
        <f>E81</f>
        <v>1250000</v>
      </c>
      <c r="F80" s="58"/>
      <c r="G80" s="58">
        <f>D80+E80</f>
        <v>1250000</v>
      </c>
    </row>
    <row r="81" spans="1:7" s="54" customFormat="1" ht="12.75">
      <c r="A81" s="76">
        <v>33010000</v>
      </c>
      <c r="B81" s="77" t="s">
        <v>196</v>
      </c>
      <c r="C81" s="63">
        <f t="shared" si="2"/>
        <v>1250000</v>
      </c>
      <c r="D81" s="58">
        <f>D82</f>
        <v>0</v>
      </c>
      <c r="E81" s="58">
        <f>E82</f>
        <v>1250000</v>
      </c>
      <c r="F81" s="58"/>
      <c r="G81" s="58">
        <f>D81+E81</f>
        <v>1250000</v>
      </c>
    </row>
    <row r="82" spans="1:7" s="54" customFormat="1" ht="63.75">
      <c r="A82" s="76">
        <v>33010100</v>
      </c>
      <c r="B82" s="77" t="s">
        <v>197</v>
      </c>
      <c r="C82" s="63">
        <f t="shared" si="2"/>
        <v>1250000</v>
      </c>
      <c r="D82" s="58">
        <v>0</v>
      </c>
      <c r="E82" s="58">
        <v>1250000</v>
      </c>
      <c r="F82" s="58" t="e">
        <f>#REF!+#REF!+F83</f>
        <v>#REF!</v>
      </c>
      <c r="G82" s="58">
        <f>D82+E82</f>
        <v>1250000</v>
      </c>
    </row>
    <row r="83" spans="1:7" s="54" customFormat="1" ht="12.75">
      <c r="A83" s="61">
        <v>40000000</v>
      </c>
      <c r="B83" s="62" t="s">
        <v>198</v>
      </c>
      <c r="C83" s="63">
        <f t="shared" si="2"/>
        <v>77304500</v>
      </c>
      <c r="D83" s="67">
        <f>D91+D102</f>
        <v>77304500</v>
      </c>
      <c r="E83" s="67">
        <f>E91+E102</f>
        <v>0</v>
      </c>
      <c r="F83" s="67"/>
      <c r="G83" s="67">
        <f>G91+G102</f>
        <v>0</v>
      </c>
    </row>
    <row r="84" spans="1:7" s="54" customFormat="1" ht="12.75" hidden="1">
      <c r="A84" s="61"/>
      <c r="B84" s="62"/>
      <c r="C84" s="63">
        <f t="shared" si="2"/>
        <v>0</v>
      </c>
      <c r="D84" s="67"/>
      <c r="E84" s="67"/>
      <c r="F84" s="67"/>
      <c r="G84" s="67"/>
    </row>
    <row r="85" spans="1:7" s="54" customFormat="1" ht="12.75" hidden="1">
      <c r="A85" s="61"/>
      <c r="B85" s="62"/>
      <c r="C85" s="63">
        <f t="shared" si="2"/>
        <v>0</v>
      </c>
      <c r="D85" s="67"/>
      <c r="E85" s="67"/>
      <c r="F85" s="67"/>
      <c r="G85" s="67"/>
    </row>
    <row r="86" spans="1:7" s="54" customFormat="1" ht="12.75" hidden="1">
      <c r="A86" s="61"/>
      <c r="B86" s="62"/>
      <c r="C86" s="63">
        <f t="shared" si="2"/>
        <v>0</v>
      </c>
      <c r="D86" s="67"/>
      <c r="E86" s="67"/>
      <c r="F86" s="67"/>
      <c r="G86" s="67"/>
    </row>
    <row r="87" spans="1:7" s="54" customFormat="1" ht="12.75" hidden="1">
      <c r="A87" s="61"/>
      <c r="B87" s="62"/>
      <c r="C87" s="63">
        <f t="shared" si="2"/>
        <v>0</v>
      </c>
      <c r="D87" s="67"/>
      <c r="E87" s="67"/>
      <c r="F87" s="67"/>
      <c r="G87" s="67"/>
    </row>
    <row r="88" spans="1:7" s="54" customFormat="1" ht="12.75" hidden="1">
      <c r="A88" s="61"/>
      <c r="B88" s="62"/>
      <c r="C88" s="63">
        <f t="shared" si="2"/>
        <v>0</v>
      </c>
      <c r="D88" s="67"/>
      <c r="E88" s="67"/>
      <c r="F88" s="67"/>
      <c r="G88" s="67"/>
    </row>
    <row r="89" spans="1:7" s="54" customFormat="1" ht="12.75" hidden="1">
      <c r="A89" s="61"/>
      <c r="B89" s="62"/>
      <c r="C89" s="63">
        <f t="shared" si="2"/>
        <v>0</v>
      </c>
      <c r="D89" s="67"/>
      <c r="E89" s="67"/>
      <c r="F89" s="67"/>
      <c r="G89" s="67"/>
    </row>
    <row r="90" spans="1:7" s="54" customFormat="1" ht="12.75" hidden="1">
      <c r="A90" s="61"/>
      <c r="B90" s="62"/>
      <c r="C90" s="63">
        <f t="shared" si="2"/>
        <v>0</v>
      </c>
      <c r="D90" s="67"/>
      <c r="E90" s="67"/>
      <c r="F90" s="67"/>
      <c r="G90" s="67"/>
    </row>
    <row r="91" spans="1:7" s="54" customFormat="1" ht="12.75">
      <c r="A91" s="76">
        <v>41000000</v>
      </c>
      <c r="B91" s="77" t="s">
        <v>199</v>
      </c>
      <c r="C91" s="63">
        <f t="shared" si="2"/>
        <v>77304500</v>
      </c>
      <c r="D91" s="58">
        <f>D93+D96+D99</f>
        <v>77304500</v>
      </c>
      <c r="E91" s="58">
        <f>E92+E93+E101</f>
        <v>0</v>
      </c>
      <c r="F91" s="58"/>
      <c r="G91" s="58">
        <v>0</v>
      </c>
    </row>
    <row r="92" spans="1:7" s="54" customFormat="1" ht="12.75" hidden="1">
      <c r="A92" s="76">
        <v>41010000</v>
      </c>
      <c r="B92" s="77" t="s">
        <v>200</v>
      </c>
      <c r="C92" s="63">
        <f t="shared" si="2"/>
        <v>0</v>
      </c>
      <c r="D92" s="67">
        <v>0</v>
      </c>
      <c r="E92" s="67">
        <v>0</v>
      </c>
      <c r="F92" s="67">
        <v>0</v>
      </c>
      <c r="G92" s="58">
        <f>D92+E92</f>
        <v>0</v>
      </c>
    </row>
    <row r="93" spans="1:7" s="54" customFormat="1" ht="13.5" customHeight="1">
      <c r="A93" s="76">
        <v>41020000</v>
      </c>
      <c r="B93" s="77" t="s">
        <v>201</v>
      </c>
      <c r="C93" s="63">
        <f t="shared" si="2"/>
        <v>17343700</v>
      </c>
      <c r="D93" s="58">
        <f>D94+D95</f>
        <v>17343700</v>
      </c>
      <c r="E93" s="58">
        <f>E100</f>
        <v>0</v>
      </c>
      <c r="F93" s="58"/>
      <c r="G93" s="58">
        <v>0</v>
      </c>
    </row>
    <row r="94" spans="1:7" s="54" customFormat="1" ht="13.5" customHeight="1">
      <c r="A94" s="76">
        <v>41020100</v>
      </c>
      <c r="B94" s="81" t="s">
        <v>202</v>
      </c>
      <c r="C94" s="63">
        <f t="shared" si="2"/>
        <v>9002200</v>
      </c>
      <c r="D94" s="58">
        <v>9002200</v>
      </c>
      <c r="E94" s="58"/>
      <c r="F94" s="58"/>
      <c r="G94" s="58">
        <v>0</v>
      </c>
    </row>
    <row r="95" spans="1:7" s="54" customFormat="1" ht="34.5" customHeight="1">
      <c r="A95" s="76">
        <v>41020200</v>
      </c>
      <c r="B95" s="77" t="s">
        <v>70</v>
      </c>
      <c r="C95" s="63">
        <f t="shared" si="2"/>
        <v>8341500</v>
      </c>
      <c r="D95" s="58">
        <v>8341500</v>
      </c>
      <c r="E95" s="58">
        <v>0</v>
      </c>
      <c r="F95" s="58"/>
      <c r="G95" s="58">
        <f>D95+E95</f>
        <v>8341500</v>
      </c>
    </row>
    <row r="96" spans="1:7" s="54" customFormat="1" ht="15.75" customHeight="1">
      <c r="A96" s="76">
        <v>41030000</v>
      </c>
      <c r="B96" s="77" t="s">
        <v>203</v>
      </c>
      <c r="C96" s="63">
        <f t="shared" si="2"/>
        <v>59960800</v>
      </c>
      <c r="D96" s="58">
        <f>D97+D98</f>
        <v>59960800</v>
      </c>
      <c r="E96" s="58"/>
      <c r="F96" s="58"/>
      <c r="G96" s="58">
        <v>0</v>
      </c>
    </row>
    <row r="97" spans="1:7" s="54" customFormat="1" ht="28.5" customHeight="1">
      <c r="A97" s="76">
        <v>41034200</v>
      </c>
      <c r="B97" s="81" t="s">
        <v>22</v>
      </c>
      <c r="C97" s="63">
        <f t="shared" si="2"/>
        <v>22512700</v>
      </c>
      <c r="D97" s="58">
        <v>22512700</v>
      </c>
      <c r="E97" s="58"/>
      <c r="F97" s="58"/>
      <c r="G97" s="58">
        <v>0</v>
      </c>
    </row>
    <row r="98" spans="1:7" s="54" customFormat="1" ht="27.75" customHeight="1">
      <c r="A98" s="76">
        <v>41033900</v>
      </c>
      <c r="B98" s="81" t="s">
        <v>21</v>
      </c>
      <c r="C98" s="63">
        <f t="shared" si="2"/>
        <v>37448100</v>
      </c>
      <c r="D98" s="58">
        <v>37448100</v>
      </c>
      <c r="E98" s="58"/>
      <c r="F98" s="58"/>
      <c r="G98" s="58">
        <v>0</v>
      </c>
    </row>
    <row r="99" spans="3:7" s="82" customFormat="1" ht="40.5" customHeight="1" hidden="1">
      <c r="C99" s="63">
        <f t="shared" si="2"/>
        <v>0</v>
      </c>
      <c r="D99" s="83">
        <v>0</v>
      </c>
      <c r="E99" s="83"/>
      <c r="F99" s="83"/>
      <c r="G99" s="83">
        <v>0</v>
      </c>
    </row>
    <row r="100" spans="1:7" s="54" customFormat="1" ht="15.75" customHeight="1" hidden="1">
      <c r="A100" s="76">
        <v>41020900</v>
      </c>
      <c r="B100" s="77" t="s">
        <v>204</v>
      </c>
      <c r="C100" s="63">
        <f t="shared" si="2"/>
        <v>0</v>
      </c>
      <c r="D100" s="58"/>
      <c r="E100" s="58">
        <v>0</v>
      </c>
      <c r="F100" s="58"/>
      <c r="G100" s="58">
        <f>D100+E100</f>
        <v>0</v>
      </c>
    </row>
    <row r="101" spans="1:7" s="54" customFormat="1" ht="12.75" hidden="1">
      <c r="A101" s="76">
        <v>41030000</v>
      </c>
      <c r="B101" s="77" t="s">
        <v>203</v>
      </c>
      <c r="C101" s="63">
        <f t="shared" si="2"/>
        <v>0</v>
      </c>
      <c r="D101" s="58">
        <v>0</v>
      </c>
      <c r="E101" s="58">
        <v>0</v>
      </c>
      <c r="F101" s="58"/>
      <c r="G101" s="58">
        <f>D101+E101</f>
        <v>0</v>
      </c>
    </row>
    <row r="102" spans="1:7" s="54" customFormat="1" ht="12.75" hidden="1">
      <c r="A102" s="76">
        <v>42000000</v>
      </c>
      <c r="B102" s="77" t="s">
        <v>205</v>
      </c>
      <c r="C102" s="63">
        <f t="shared" si="2"/>
        <v>0</v>
      </c>
      <c r="D102" s="67">
        <v>0</v>
      </c>
      <c r="E102" s="58">
        <v>0</v>
      </c>
      <c r="F102" s="67"/>
      <c r="G102" s="67">
        <f>D102+E102</f>
        <v>0</v>
      </c>
    </row>
    <row r="103" spans="1:7" s="79" customFormat="1" ht="12.75">
      <c r="A103" s="61">
        <v>50000000</v>
      </c>
      <c r="B103" s="62" t="s">
        <v>206</v>
      </c>
      <c r="C103" s="63">
        <f t="shared" si="2"/>
        <v>446000</v>
      </c>
      <c r="D103" s="67">
        <f>D104</f>
        <v>0</v>
      </c>
      <c r="E103" s="67">
        <f>E104</f>
        <v>446000</v>
      </c>
      <c r="F103" s="67"/>
      <c r="G103" s="67">
        <f>G104</f>
        <v>0</v>
      </c>
    </row>
    <row r="104" spans="1:7" s="54" customFormat="1" ht="12.75">
      <c r="A104" s="61">
        <v>50100000</v>
      </c>
      <c r="B104" s="62" t="s">
        <v>207</v>
      </c>
      <c r="C104" s="63">
        <f t="shared" si="2"/>
        <v>446000</v>
      </c>
      <c r="D104" s="58">
        <f>D105</f>
        <v>0</v>
      </c>
      <c r="E104" s="58">
        <f>E105</f>
        <v>446000</v>
      </c>
      <c r="F104" s="58"/>
      <c r="G104" s="58">
        <v>0</v>
      </c>
    </row>
    <row r="105" spans="1:7" s="54" customFormat="1" ht="39.75" customHeight="1">
      <c r="A105" s="61">
        <v>50110000</v>
      </c>
      <c r="B105" s="62" t="s">
        <v>208</v>
      </c>
      <c r="C105" s="63">
        <f t="shared" si="2"/>
        <v>446000</v>
      </c>
      <c r="D105" s="58">
        <v>0</v>
      </c>
      <c r="E105" s="58">
        <v>446000</v>
      </c>
      <c r="F105" s="58"/>
      <c r="G105" s="58">
        <v>0</v>
      </c>
    </row>
    <row r="106" spans="1:7" s="54" customFormat="1" ht="12.75" hidden="1">
      <c r="A106" s="84">
        <v>41030000</v>
      </c>
      <c r="B106" s="85" t="s">
        <v>203</v>
      </c>
      <c r="C106" s="63">
        <f t="shared" si="2"/>
        <v>0</v>
      </c>
      <c r="D106" s="86">
        <f>SUM(D107:D110)</f>
        <v>0</v>
      </c>
      <c r="E106" s="86">
        <f>SUM(E107:E110)</f>
        <v>0</v>
      </c>
      <c r="F106" s="86">
        <f>SUM(F107:F110)</f>
        <v>0</v>
      </c>
      <c r="G106" s="86">
        <f aca="true" t="shared" si="3" ref="G106:G113">D106+E106</f>
        <v>0</v>
      </c>
    </row>
    <row r="107" spans="1:7" s="54" customFormat="1" ht="12.75" hidden="1">
      <c r="A107" s="87">
        <v>41035003</v>
      </c>
      <c r="B107" s="88" t="s">
        <v>209</v>
      </c>
      <c r="C107" s="63">
        <f t="shared" si="2"/>
        <v>0</v>
      </c>
      <c r="D107" s="58">
        <v>0</v>
      </c>
      <c r="E107" s="58"/>
      <c r="F107" s="58"/>
      <c r="G107" s="58">
        <f t="shared" si="3"/>
        <v>0</v>
      </c>
    </row>
    <row r="108" spans="1:7" s="54" customFormat="1" ht="51" hidden="1">
      <c r="A108" s="87">
        <v>41036300</v>
      </c>
      <c r="B108" s="88" t="s">
        <v>210</v>
      </c>
      <c r="C108" s="63">
        <f t="shared" si="2"/>
        <v>0</v>
      </c>
      <c r="D108" s="58"/>
      <c r="E108" s="58"/>
      <c r="F108" s="58"/>
      <c r="G108" s="58">
        <f t="shared" si="3"/>
        <v>0</v>
      </c>
    </row>
    <row r="109" spans="1:7" s="54" customFormat="1" ht="38.25" hidden="1">
      <c r="A109" s="87">
        <v>41037000</v>
      </c>
      <c r="B109" s="88" t="s">
        <v>211</v>
      </c>
      <c r="C109" s="63">
        <f t="shared" si="2"/>
        <v>0</v>
      </c>
      <c r="D109" s="58"/>
      <c r="E109" s="58"/>
      <c r="F109" s="58"/>
      <c r="G109" s="58">
        <f t="shared" si="3"/>
        <v>0</v>
      </c>
    </row>
    <row r="110" spans="1:7" s="54" customFormat="1" ht="76.5" hidden="1">
      <c r="A110" s="87">
        <v>41036600</v>
      </c>
      <c r="B110" s="89" t="s">
        <v>212</v>
      </c>
      <c r="C110" s="63">
        <f t="shared" si="2"/>
        <v>0</v>
      </c>
      <c r="D110" s="58"/>
      <c r="E110" s="58"/>
      <c r="F110" s="58"/>
      <c r="G110" s="58">
        <f t="shared" si="3"/>
        <v>0</v>
      </c>
    </row>
    <row r="111" spans="1:7" s="54" customFormat="1" ht="63.75" hidden="1">
      <c r="A111" s="87">
        <v>41037900</v>
      </c>
      <c r="B111" s="88" t="s">
        <v>213</v>
      </c>
      <c r="C111" s="63">
        <f aca="true" t="shared" si="4" ref="C111:C116">D111+E111</f>
        <v>0</v>
      </c>
      <c r="D111" s="58"/>
      <c r="E111" s="58"/>
      <c r="F111" s="58"/>
      <c r="G111" s="58">
        <f t="shared" si="3"/>
        <v>0</v>
      </c>
    </row>
    <row r="112" spans="1:7" s="54" customFormat="1" ht="51" hidden="1">
      <c r="A112" s="87">
        <v>41021300</v>
      </c>
      <c r="B112" s="90" t="s">
        <v>214</v>
      </c>
      <c r="C112" s="63">
        <f t="shared" si="4"/>
        <v>0</v>
      </c>
      <c r="D112" s="58"/>
      <c r="E112" s="58"/>
      <c r="F112" s="58"/>
      <c r="G112" s="58">
        <f t="shared" si="3"/>
        <v>0</v>
      </c>
    </row>
    <row r="113" spans="1:7" s="54" customFormat="1" ht="25.5" hidden="1">
      <c r="A113" s="87">
        <v>43010000</v>
      </c>
      <c r="B113" s="88" t="s">
        <v>215</v>
      </c>
      <c r="C113" s="63">
        <f t="shared" si="4"/>
        <v>0</v>
      </c>
      <c r="D113" s="67"/>
      <c r="E113" s="67"/>
      <c r="F113" s="67">
        <f>E113</f>
        <v>0</v>
      </c>
      <c r="G113" s="67">
        <f t="shared" si="3"/>
        <v>0</v>
      </c>
    </row>
    <row r="114" spans="1:7" s="54" customFormat="1" ht="12.75" hidden="1">
      <c r="A114" s="87"/>
      <c r="B114" s="88"/>
      <c r="C114" s="63">
        <f t="shared" si="4"/>
        <v>0</v>
      </c>
      <c r="D114" s="67"/>
      <c r="E114" s="67"/>
      <c r="F114" s="67"/>
      <c r="G114" s="67"/>
    </row>
    <row r="115" spans="1:7" s="54" customFormat="1" ht="12.75">
      <c r="A115" s="300" t="s">
        <v>216</v>
      </c>
      <c r="B115" s="300"/>
      <c r="C115" s="63">
        <f t="shared" si="4"/>
        <v>59761400</v>
      </c>
      <c r="D115" s="67">
        <f>D11+D52+D77+D103</f>
        <v>57164400</v>
      </c>
      <c r="E115" s="67">
        <f>E11+E52+E77+E103</f>
        <v>2597000</v>
      </c>
      <c r="F115" s="67" t="e">
        <f>F11+F52+F77+F103</f>
        <v>#REF!</v>
      </c>
      <c r="G115" s="67">
        <f>G11+G52+G77+G103</f>
        <v>1250000</v>
      </c>
    </row>
    <row r="116" spans="1:7" s="54" customFormat="1" ht="12.75">
      <c r="A116" s="301" t="s">
        <v>0</v>
      </c>
      <c r="B116" s="301"/>
      <c r="C116" s="63">
        <f t="shared" si="4"/>
        <v>137065900</v>
      </c>
      <c r="D116" s="64">
        <f>D115+D83</f>
        <v>134468900</v>
      </c>
      <c r="E116" s="64">
        <f>E115+E83</f>
        <v>2597000</v>
      </c>
      <c r="F116" s="64" t="e">
        <f>F115+F83</f>
        <v>#REF!</v>
      </c>
      <c r="G116" s="64">
        <f>G115+G83</f>
        <v>1250000</v>
      </c>
    </row>
    <row r="119" spans="2:5" ht="12.75" hidden="1">
      <c r="B119" s="18" t="s">
        <v>3</v>
      </c>
      <c r="D119" s="6"/>
      <c r="E119" s="4" t="s">
        <v>217</v>
      </c>
    </row>
    <row r="121" spans="1:7" ht="12.75">
      <c r="A121" s="287" t="s">
        <v>3</v>
      </c>
      <c r="B121" s="288"/>
      <c r="E121" s="6"/>
      <c r="F121" s="4" t="s">
        <v>219</v>
      </c>
      <c r="G121" s="5" t="s">
        <v>313</v>
      </c>
    </row>
    <row r="123" spans="1:7" ht="12.75" hidden="1">
      <c r="A123" s="92" t="s">
        <v>221</v>
      </c>
      <c r="E123" s="6"/>
      <c r="F123" s="4" t="s">
        <v>222</v>
      </c>
      <c r="G123" s="5" t="s">
        <v>223</v>
      </c>
    </row>
  </sheetData>
  <sheetProtection/>
  <mergeCells count="10">
    <mergeCell ref="D1:G1"/>
    <mergeCell ref="A2:F2"/>
    <mergeCell ref="A121:B121"/>
    <mergeCell ref="E6:G7"/>
    <mergeCell ref="A6:A8"/>
    <mergeCell ref="B6:B8"/>
    <mergeCell ref="C6:C8"/>
    <mergeCell ref="D6:D8"/>
    <mergeCell ref="A115:B115"/>
    <mergeCell ref="A116:B116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SheetLayoutView="100" workbookViewId="0" topLeftCell="A11">
      <selection activeCell="F23" sqref="F23"/>
    </sheetView>
  </sheetViews>
  <sheetFormatPr defaultColWidth="9.16015625" defaultRowHeight="12.75"/>
  <cols>
    <col min="1" max="1" width="9.5" style="3" customWidth="1"/>
    <col min="2" max="2" width="52" style="3" customWidth="1"/>
    <col min="3" max="6" width="16.33203125" style="3" customWidth="1"/>
    <col min="7" max="12" width="9.16015625" style="3" customWidth="1"/>
    <col min="13" max="16384" width="9.16015625" style="255" customWidth="1"/>
  </cols>
  <sheetData>
    <row r="1" spans="1:12" s="2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2.75" customHeight="1"/>
    <row r="3" spans="3:13" ht="52.5" customHeight="1">
      <c r="C3" s="284" t="s">
        <v>339</v>
      </c>
      <c r="D3" s="284"/>
      <c r="E3" s="284"/>
      <c r="F3" s="284"/>
      <c r="M3" s="3"/>
    </row>
    <row r="4" spans="1:6" ht="25.5" customHeight="1">
      <c r="A4" s="285" t="s">
        <v>314</v>
      </c>
      <c r="B4" s="285"/>
      <c r="C4" s="285"/>
      <c r="D4" s="285"/>
      <c r="E4" s="285"/>
      <c r="F4" s="285"/>
    </row>
    <row r="5" spans="1:6" ht="12.75" customHeight="1">
      <c r="A5" s="302"/>
      <c r="B5" s="302"/>
      <c r="C5" s="302"/>
      <c r="D5" s="302"/>
      <c r="E5" s="302"/>
      <c r="F5" s="103" t="s">
        <v>72</v>
      </c>
    </row>
    <row r="6" spans="1:12" s="258" customFormat="1" ht="24.75" customHeight="1">
      <c r="A6" s="303" t="s">
        <v>122</v>
      </c>
      <c r="B6" s="303" t="s">
        <v>315</v>
      </c>
      <c r="C6" s="303" t="s">
        <v>0</v>
      </c>
      <c r="D6" s="303" t="s">
        <v>1</v>
      </c>
      <c r="E6" s="303" t="s">
        <v>2</v>
      </c>
      <c r="F6" s="303"/>
      <c r="G6" s="257"/>
      <c r="H6" s="257"/>
      <c r="I6" s="257"/>
      <c r="J6" s="257"/>
      <c r="K6" s="257"/>
      <c r="L6" s="257"/>
    </row>
    <row r="7" spans="1:12" s="258" customFormat="1" ht="38.25" customHeight="1">
      <c r="A7" s="303"/>
      <c r="B7" s="303"/>
      <c r="C7" s="303"/>
      <c r="D7" s="303"/>
      <c r="E7" s="256" t="s">
        <v>0</v>
      </c>
      <c r="F7" s="259" t="s">
        <v>316</v>
      </c>
      <c r="G7" s="257"/>
      <c r="H7" s="257"/>
      <c r="I7" s="257"/>
      <c r="J7" s="257"/>
      <c r="K7" s="257"/>
      <c r="L7" s="257"/>
    </row>
    <row r="8" spans="1:12" s="263" customFormat="1" ht="26.25" customHeight="1">
      <c r="A8" s="260" t="s">
        <v>317</v>
      </c>
      <c r="B8" s="261" t="s">
        <v>318</v>
      </c>
      <c r="C8" s="262">
        <f>C9</f>
        <v>1665185</v>
      </c>
      <c r="D8" s="262">
        <f>D9</f>
        <v>-3002465</v>
      </c>
      <c r="E8" s="262">
        <f>E9</f>
        <v>4667650</v>
      </c>
      <c r="F8" s="262">
        <f>F9</f>
        <v>4667650</v>
      </c>
      <c r="G8" s="3"/>
      <c r="H8" s="3"/>
      <c r="I8" s="3"/>
      <c r="J8" s="3"/>
      <c r="K8" s="3"/>
      <c r="L8" s="3"/>
    </row>
    <row r="9" spans="1:12" s="267" customFormat="1" ht="36" customHeight="1">
      <c r="A9" s="260" t="s">
        <v>319</v>
      </c>
      <c r="B9" s="264" t="s">
        <v>320</v>
      </c>
      <c r="C9" s="262">
        <f>D9+E9</f>
        <v>1665185</v>
      </c>
      <c r="D9" s="265">
        <f>D10-D11+D12</f>
        <v>-3002465</v>
      </c>
      <c r="E9" s="265">
        <f>E10-E11+E12</f>
        <v>4667650</v>
      </c>
      <c r="F9" s="265">
        <f>F10-F11+F12</f>
        <v>4667650</v>
      </c>
      <c r="G9" s="266"/>
      <c r="H9" s="266"/>
      <c r="I9" s="266"/>
      <c r="J9" s="266"/>
      <c r="K9" s="266"/>
      <c r="L9" s="266"/>
    </row>
    <row r="10" spans="1:12" s="273" customFormat="1" ht="20.25" customHeight="1">
      <c r="A10" s="268" t="s">
        <v>321</v>
      </c>
      <c r="B10" s="269" t="s">
        <v>322</v>
      </c>
      <c r="C10" s="262">
        <v>1711595.51</v>
      </c>
      <c r="D10" s="270">
        <v>1711595.51</v>
      </c>
      <c r="E10" s="271">
        <v>0</v>
      </c>
      <c r="F10" s="272">
        <v>0</v>
      </c>
      <c r="G10" s="266"/>
      <c r="H10" s="266"/>
      <c r="I10" s="266"/>
      <c r="J10" s="266"/>
      <c r="K10" s="266"/>
      <c r="L10" s="266"/>
    </row>
    <row r="11" spans="1:12" s="273" customFormat="1" ht="20.25" customHeight="1">
      <c r="A11" s="268" t="s">
        <v>323</v>
      </c>
      <c r="B11" s="269" t="s">
        <v>324</v>
      </c>
      <c r="C11" s="262">
        <v>46410.51</v>
      </c>
      <c r="D11" s="270">
        <v>46410.51</v>
      </c>
      <c r="E11" s="270">
        <v>0</v>
      </c>
      <c r="F11" s="272">
        <v>0</v>
      </c>
      <c r="G11" s="266"/>
      <c r="H11" s="266"/>
      <c r="I11" s="266"/>
      <c r="J11" s="266"/>
      <c r="K11" s="266"/>
      <c r="L11" s="266"/>
    </row>
    <row r="12" spans="1:12" s="273" customFormat="1" ht="45">
      <c r="A12" s="268" t="s">
        <v>325</v>
      </c>
      <c r="B12" s="269" t="s">
        <v>326</v>
      </c>
      <c r="C12" s="262">
        <f>D12+E12</f>
        <v>0</v>
      </c>
      <c r="D12" s="270">
        <f>-3500000-1167650</f>
        <v>-4667650</v>
      </c>
      <c r="E12" s="270">
        <f>3500000+1167650</f>
        <v>4667650</v>
      </c>
      <c r="F12" s="270">
        <f>3500000+1167650</f>
        <v>4667650</v>
      </c>
      <c r="G12" s="266"/>
      <c r="H12" s="266"/>
      <c r="I12" s="266"/>
      <c r="J12" s="266"/>
      <c r="K12" s="266"/>
      <c r="L12" s="266"/>
    </row>
    <row r="13" spans="1:12" s="273" customFormat="1" ht="20.25" customHeight="1">
      <c r="A13" s="260"/>
      <c r="B13" s="264" t="s">
        <v>327</v>
      </c>
      <c r="C13" s="262">
        <f aca="true" t="shared" si="0" ref="C13:F14">C14</f>
        <v>1665185</v>
      </c>
      <c r="D13" s="262">
        <f t="shared" si="0"/>
        <v>-3002465</v>
      </c>
      <c r="E13" s="262">
        <f t="shared" si="0"/>
        <v>4667650</v>
      </c>
      <c r="F13" s="262">
        <f t="shared" si="0"/>
        <v>4667650</v>
      </c>
      <c r="G13" s="266"/>
      <c r="H13" s="266"/>
      <c r="I13" s="266"/>
      <c r="J13" s="266"/>
      <c r="K13" s="266"/>
      <c r="L13" s="266"/>
    </row>
    <row r="14" spans="1:12" s="273" customFormat="1" ht="20.25" customHeight="1">
      <c r="A14" s="260" t="s">
        <v>328</v>
      </c>
      <c r="B14" s="264" t="s">
        <v>329</v>
      </c>
      <c r="C14" s="262">
        <f t="shared" si="0"/>
        <v>1665185</v>
      </c>
      <c r="D14" s="262">
        <f t="shared" si="0"/>
        <v>-3002465</v>
      </c>
      <c r="E14" s="262">
        <f t="shared" si="0"/>
        <v>4667650</v>
      </c>
      <c r="F14" s="262">
        <f t="shared" si="0"/>
        <v>4667650</v>
      </c>
      <c r="G14" s="266"/>
      <c r="H14" s="266"/>
      <c r="I14" s="266"/>
      <c r="J14" s="266"/>
      <c r="K14" s="266"/>
      <c r="L14" s="266"/>
    </row>
    <row r="15" spans="1:12" s="273" customFormat="1" ht="20.25" customHeight="1">
      <c r="A15" s="268" t="s">
        <v>330</v>
      </c>
      <c r="B15" s="264" t="s">
        <v>331</v>
      </c>
      <c r="C15" s="262">
        <f>D15+E15</f>
        <v>1665185</v>
      </c>
      <c r="D15" s="270">
        <f>D16-D17+D18</f>
        <v>-3002465</v>
      </c>
      <c r="E15" s="270">
        <f>E16-E17+E18</f>
        <v>4667650</v>
      </c>
      <c r="F15" s="270">
        <f>F16-F17+F18</f>
        <v>4667650</v>
      </c>
      <c r="G15" s="266"/>
      <c r="H15" s="266"/>
      <c r="I15" s="266"/>
      <c r="J15" s="266"/>
      <c r="K15" s="266"/>
      <c r="L15" s="266"/>
    </row>
    <row r="16" spans="1:12" s="273" customFormat="1" ht="20.25" customHeight="1">
      <c r="A16" s="268" t="s">
        <v>332</v>
      </c>
      <c r="B16" s="269" t="s">
        <v>322</v>
      </c>
      <c r="C16" s="262">
        <f>D16+E16</f>
        <v>1711595.51</v>
      </c>
      <c r="D16" s="270">
        <v>1711595.51</v>
      </c>
      <c r="E16" s="270">
        <v>0</v>
      </c>
      <c r="F16" s="272">
        <v>0</v>
      </c>
      <c r="G16" s="266"/>
      <c r="H16" s="266"/>
      <c r="I16" s="266"/>
      <c r="J16" s="266"/>
      <c r="K16" s="266"/>
      <c r="L16" s="266"/>
    </row>
    <row r="17" spans="1:12" s="267" customFormat="1" ht="36.75" customHeight="1">
      <c r="A17" s="268" t="s">
        <v>333</v>
      </c>
      <c r="B17" s="269" t="s">
        <v>324</v>
      </c>
      <c r="C17" s="262">
        <f>D17+E17</f>
        <v>46410.51</v>
      </c>
      <c r="D17" s="270">
        <v>46410.51</v>
      </c>
      <c r="E17" s="274">
        <v>0</v>
      </c>
      <c r="F17" s="272">
        <v>0</v>
      </c>
      <c r="G17" s="266"/>
      <c r="H17" s="266"/>
      <c r="I17" s="266"/>
      <c r="J17" s="266"/>
      <c r="K17" s="266"/>
      <c r="L17" s="266"/>
    </row>
    <row r="18" spans="1:12" s="273" customFormat="1" ht="45">
      <c r="A18" s="268" t="s">
        <v>334</v>
      </c>
      <c r="B18" s="269" t="s">
        <v>326</v>
      </c>
      <c r="C18" s="262">
        <f>D18+E18</f>
        <v>0</v>
      </c>
      <c r="D18" s="270">
        <f>-3500000-1167650</f>
        <v>-4667650</v>
      </c>
      <c r="E18" s="270">
        <f>3500000+1167650</f>
        <v>4667650</v>
      </c>
      <c r="F18" s="270">
        <f>3500000+1167650</f>
        <v>4667650</v>
      </c>
      <c r="G18" s="266"/>
      <c r="H18" s="266"/>
      <c r="I18" s="266"/>
      <c r="J18" s="266"/>
      <c r="K18" s="266"/>
      <c r="L18" s="266"/>
    </row>
    <row r="19" spans="1:12" s="273" customFormat="1" ht="18.75" customHeight="1">
      <c r="A19" s="260"/>
      <c r="B19" s="264" t="s">
        <v>335</v>
      </c>
      <c r="C19" s="262">
        <f>C8</f>
        <v>1665185</v>
      </c>
      <c r="D19" s="262">
        <f>D8</f>
        <v>-3002465</v>
      </c>
      <c r="E19" s="262">
        <f>E8</f>
        <v>4667650</v>
      </c>
      <c r="F19" s="262">
        <f>F8</f>
        <v>4667650</v>
      </c>
      <c r="G19" s="266"/>
      <c r="H19" s="266"/>
      <c r="I19" s="275"/>
      <c r="J19" s="266"/>
      <c r="K19" s="266"/>
      <c r="L19" s="266"/>
    </row>
    <row r="20" spans="1:12" ht="12.75">
      <c r="A20" s="255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</row>
    <row r="21" ht="12.75" customHeight="1"/>
    <row r="22" spans="1:7" s="4" customFormat="1" ht="12.75">
      <c r="A22" s="287" t="s">
        <v>3</v>
      </c>
      <c r="B22" s="288"/>
      <c r="C22" s="18"/>
      <c r="E22" s="6"/>
      <c r="F22" s="54" t="s">
        <v>313</v>
      </c>
      <c r="G22" s="5"/>
    </row>
  </sheetData>
  <mergeCells count="9">
    <mergeCell ref="A22:B22"/>
    <mergeCell ref="C3:F3"/>
    <mergeCell ref="A4:F4"/>
    <mergeCell ref="A5:E5"/>
    <mergeCell ref="A6:A7"/>
    <mergeCell ref="B6:B7"/>
    <mergeCell ref="C6:C7"/>
    <mergeCell ref="D6:D7"/>
    <mergeCell ref="E6:F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2"/>
  <sheetViews>
    <sheetView view="pageBreakPreview" zoomScale="85" zoomScaleNormal="75" zoomScaleSheetLayoutView="85" zoomScalePageLayoutView="0" workbookViewId="0" topLeftCell="B61">
      <selection activeCell="I83" sqref="I83"/>
    </sheetView>
  </sheetViews>
  <sheetFormatPr defaultColWidth="9.16015625" defaultRowHeight="12.75"/>
  <cols>
    <col min="1" max="1" width="3.83203125" style="1" hidden="1" customWidth="1"/>
    <col min="2" max="2" width="12.33203125" style="25" customWidth="1"/>
    <col min="3" max="4" width="11.66015625" style="25" customWidth="1"/>
    <col min="5" max="5" width="53.66015625" style="1" customWidth="1"/>
    <col min="6" max="6" width="16.33203125" style="1" customWidth="1"/>
    <col min="7" max="7" width="16.16015625" style="1" customWidth="1"/>
    <col min="8" max="8" width="14.83203125" style="1" customWidth="1"/>
    <col min="9" max="9" width="14.5" style="1" customWidth="1"/>
    <col min="10" max="10" width="14.16015625" style="1" customWidth="1"/>
    <col min="11" max="11" width="15" style="1" customWidth="1"/>
    <col min="12" max="12" width="14.16015625" style="1" customWidth="1"/>
    <col min="13" max="13" width="11.33203125" style="1" customWidth="1"/>
    <col min="14" max="14" width="12.66015625" style="1" customWidth="1"/>
    <col min="15" max="15" width="14.5" style="1" customWidth="1"/>
    <col min="16" max="16" width="14.66015625" style="1" customWidth="1"/>
    <col min="17" max="17" width="16.83203125" style="1" customWidth="1"/>
    <col min="18" max="16384" width="9.16015625" style="2" customWidth="1"/>
  </cols>
  <sheetData>
    <row r="1" spans="2:17" ht="1.5" customHeight="1"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</row>
    <row r="2" spans="6:18" ht="69" customHeight="1">
      <c r="F2" s="19"/>
      <c r="G2" s="19"/>
      <c r="H2" s="19"/>
      <c r="I2" s="19"/>
      <c r="J2" s="19"/>
      <c r="K2" s="19"/>
      <c r="L2" s="19"/>
      <c r="M2" s="284" t="s">
        <v>376</v>
      </c>
      <c r="N2" s="284"/>
      <c r="O2" s="284"/>
      <c r="P2" s="284"/>
      <c r="Q2" s="284"/>
      <c r="R2" s="7"/>
    </row>
    <row r="3" spans="2:17" ht="30" customHeight="1">
      <c r="B3" s="308" t="s">
        <v>30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</row>
    <row r="4" spans="2:17" ht="15.75" customHeight="1" hidden="1">
      <c r="B4" s="26"/>
      <c r="C4" s="27"/>
      <c r="D4" s="27"/>
      <c r="E4" s="20"/>
      <c r="F4" s="20"/>
      <c r="G4" s="20"/>
      <c r="H4" s="21"/>
      <c r="I4" s="20"/>
      <c r="J4" s="20"/>
      <c r="K4" s="41"/>
      <c r="L4" s="22"/>
      <c r="M4" s="22"/>
      <c r="N4" s="22"/>
      <c r="O4" s="22"/>
      <c r="P4" s="22"/>
      <c r="Q4" s="23" t="s">
        <v>72</v>
      </c>
    </row>
    <row r="5" spans="1:17" s="8" customFormat="1" ht="21.75" customHeight="1">
      <c r="A5" s="9"/>
      <c r="B5" s="309" t="s">
        <v>31</v>
      </c>
      <c r="C5" s="310" t="s">
        <v>23</v>
      </c>
      <c r="D5" s="309" t="s">
        <v>24</v>
      </c>
      <c r="E5" s="306" t="s">
        <v>74</v>
      </c>
      <c r="F5" s="306" t="s">
        <v>1</v>
      </c>
      <c r="G5" s="306"/>
      <c r="H5" s="306"/>
      <c r="I5" s="306"/>
      <c r="J5" s="306"/>
      <c r="K5" s="306" t="s">
        <v>2</v>
      </c>
      <c r="L5" s="306"/>
      <c r="M5" s="306"/>
      <c r="N5" s="306"/>
      <c r="O5" s="306"/>
      <c r="P5" s="306"/>
      <c r="Q5" s="306" t="s">
        <v>6</v>
      </c>
    </row>
    <row r="6" spans="1:17" s="8" customFormat="1" ht="16.5" customHeight="1">
      <c r="A6" s="11"/>
      <c r="B6" s="309"/>
      <c r="C6" s="311"/>
      <c r="D6" s="309"/>
      <c r="E6" s="306"/>
      <c r="F6" s="306" t="s">
        <v>0</v>
      </c>
      <c r="G6" s="282" t="s">
        <v>8</v>
      </c>
      <c r="H6" s="306" t="s">
        <v>9</v>
      </c>
      <c r="I6" s="306"/>
      <c r="J6" s="282" t="s">
        <v>10</v>
      </c>
      <c r="K6" s="306" t="s">
        <v>0</v>
      </c>
      <c r="L6" s="282" t="s">
        <v>8</v>
      </c>
      <c r="M6" s="306" t="s">
        <v>9</v>
      </c>
      <c r="N6" s="306"/>
      <c r="O6" s="282" t="s">
        <v>10</v>
      </c>
      <c r="P6" s="10" t="s">
        <v>9</v>
      </c>
      <c r="Q6" s="306"/>
    </row>
    <row r="7" spans="1:17" s="8" customFormat="1" ht="20.25" customHeight="1">
      <c r="A7" s="12"/>
      <c r="B7" s="309"/>
      <c r="C7" s="311"/>
      <c r="D7" s="309"/>
      <c r="E7" s="306"/>
      <c r="F7" s="306"/>
      <c r="G7" s="282"/>
      <c r="H7" s="306" t="s">
        <v>11</v>
      </c>
      <c r="I7" s="306" t="s">
        <v>12</v>
      </c>
      <c r="J7" s="282"/>
      <c r="K7" s="306"/>
      <c r="L7" s="282"/>
      <c r="M7" s="306" t="s">
        <v>11</v>
      </c>
      <c r="N7" s="306" t="s">
        <v>12</v>
      </c>
      <c r="O7" s="282"/>
      <c r="P7" s="306" t="s">
        <v>13</v>
      </c>
      <c r="Q7" s="306"/>
    </row>
    <row r="8" spans="1:17" s="8" customFormat="1" ht="51" customHeight="1">
      <c r="A8" s="13"/>
      <c r="B8" s="309"/>
      <c r="C8" s="312"/>
      <c r="D8" s="309"/>
      <c r="E8" s="306"/>
      <c r="F8" s="306"/>
      <c r="G8" s="282"/>
      <c r="H8" s="306"/>
      <c r="I8" s="306"/>
      <c r="J8" s="282"/>
      <c r="K8" s="306"/>
      <c r="L8" s="282"/>
      <c r="M8" s="306"/>
      <c r="N8" s="306"/>
      <c r="O8" s="282"/>
      <c r="P8" s="306"/>
      <c r="Q8" s="306"/>
    </row>
    <row r="9" spans="1:17" s="15" customFormat="1" ht="12.75">
      <c r="A9" s="14"/>
      <c r="B9" s="42" t="s">
        <v>76</v>
      </c>
      <c r="C9" s="42"/>
      <c r="D9" s="42"/>
      <c r="E9" s="43" t="s">
        <v>15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s="8" customFormat="1" ht="30.75" customHeight="1">
      <c r="A10" s="3"/>
      <c r="B10" s="42" t="s">
        <v>14</v>
      </c>
      <c r="C10" s="42"/>
      <c r="D10" s="42"/>
      <c r="E10" s="43" t="s">
        <v>15</v>
      </c>
      <c r="F10" s="34">
        <f aca="true" t="shared" si="0" ref="F10:Q10">F11+F12+F30+F31+F32+F34+F37+F38+F39+F40+F43+F44</f>
        <v>23563936</v>
      </c>
      <c r="G10" s="34">
        <f t="shared" si="0"/>
        <v>21218776</v>
      </c>
      <c r="H10" s="34">
        <f t="shared" si="0"/>
        <v>4631721</v>
      </c>
      <c r="I10" s="34">
        <f t="shared" si="0"/>
        <v>244576</v>
      </c>
      <c r="J10" s="34">
        <f t="shared" si="0"/>
        <v>2345160</v>
      </c>
      <c r="K10" s="34">
        <f t="shared" si="0"/>
        <v>6354650</v>
      </c>
      <c r="L10" s="34">
        <f t="shared" si="0"/>
        <v>467000</v>
      </c>
      <c r="M10" s="34">
        <f t="shared" si="0"/>
        <v>0</v>
      </c>
      <c r="N10" s="34">
        <f t="shared" si="0"/>
        <v>0</v>
      </c>
      <c r="O10" s="34">
        <f t="shared" si="0"/>
        <v>5887650</v>
      </c>
      <c r="P10" s="34">
        <f t="shared" si="0"/>
        <v>5887650</v>
      </c>
      <c r="Q10" s="34">
        <f t="shared" si="0"/>
        <v>29918586</v>
      </c>
    </row>
    <row r="11" spans="1:17" s="8" customFormat="1" ht="51">
      <c r="A11" s="3"/>
      <c r="B11" s="31" t="s">
        <v>56</v>
      </c>
      <c r="C11" s="31" t="s">
        <v>32</v>
      </c>
      <c r="D11" s="31" t="s">
        <v>33</v>
      </c>
      <c r="E11" s="36" t="s">
        <v>368</v>
      </c>
      <c r="F11" s="33">
        <f>G11+J11</f>
        <v>6390309</v>
      </c>
      <c r="G11" s="33">
        <f>6066311+12998+259000+52000</f>
        <v>6390309</v>
      </c>
      <c r="H11" s="33">
        <f>4476721+155000</f>
        <v>4631721</v>
      </c>
      <c r="I11" s="33">
        <v>244576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4">
        <f>F11+K11</f>
        <v>6390309</v>
      </c>
    </row>
    <row r="12" spans="1:17" s="8" customFormat="1" ht="12.75">
      <c r="A12" s="3"/>
      <c r="B12" s="31" t="s">
        <v>34</v>
      </c>
      <c r="C12" s="31">
        <v>8600</v>
      </c>
      <c r="D12" s="31" t="s">
        <v>29</v>
      </c>
      <c r="E12" s="44" t="s">
        <v>7</v>
      </c>
      <c r="F12" s="33">
        <f>G12+H12+I12+J12</f>
        <v>182000</v>
      </c>
      <c r="G12" s="33">
        <f>162000+20000</f>
        <v>182000</v>
      </c>
      <c r="H12" s="33">
        <v>0</v>
      </c>
      <c r="I12" s="33">
        <v>0</v>
      </c>
      <c r="J12" s="33">
        <v>0</v>
      </c>
      <c r="K12" s="45">
        <f>L12+O12</f>
        <v>50000</v>
      </c>
      <c r="L12" s="33">
        <v>0</v>
      </c>
      <c r="M12" s="33">
        <v>0</v>
      </c>
      <c r="N12" s="33">
        <v>0</v>
      </c>
      <c r="O12" s="33">
        <v>50000</v>
      </c>
      <c r="P12" s="33">
        <v>50000</v>
      </c>
      <c r="Q12" s="34">
        <f>F12+K12</f>
        <v>232000</v>
      </c>
    </row>
    <row r="13" spans="1:17" s="8" customFormat="1" ht="12.75">
      <c r="A13" s="3"/>
      <c r="B13" s="31"/>
      <c r="C13" s="31"/>
      <c r="D13" s="31"/>
      <c r="E13" s="44"/>
      <c r="F13" s="33"/>
      <c r="G13" s="33"/>
      <c r="H13" s="33"/>
      <c r="I13" s="33"/>
      <c r="J13" s="33"/>
      <c r="K13" s="45"/>
      <c r="L13" s="33"/>
      <c r="M13" s="33"/>
      <c r="N13" s="33"/>
      <c r="O13" s="33"/>
      <c r="P13" s="33"/>
      <c r="Q13" s="34"/>
    </row>
    <row r="14" spans="1:17" s="8" customFormat="1" ht="12.75" hidden="1">
      <c r="A14" s="3"/>
      <c r="B14" s="42" t="s">
        <v>128</v>
      </c>
      <c r="C14" s="42"/>
      <c r="D14" s="42"/>
      <c r="E14" s="47" t="s">
        <v>65</v>
      </c>
      <c r="F14" s="34">
        <f>F15+F16+F17+F18</f>
        <v>4569061.1</v>
      </c>
      <c r="G14" s="34">
        <f aca="true" t="shared" si="1" ref="G14:Q14">G15+G16+G17+G18</f>
        <v>4569061.1</v>
      </c>
      <c r="H14" s="34">
        <f t="shared" si="1"/>
        <v>2896823.35</v>
      </c>
      <c r="I14" s="34">
        <f t="shared" si="1"/>
        <v>664615.57</v>
      </c>
      <c r="J14" s="34">
        <f t="shared" si="1"/>
        <v>0</v>
      </c>
      <c r="K14" s="34">
        <f t="shared" si="1"/>
        <v>0</v>
      </c>
      <c r="L14" s="34">
        <f t="shared" si="1"/>
        <v>0</v>
      </c>
      <c r="M14" s="34">
        <f t="shared" si="1"/>
        <v>0</v>
      </c>
      <c r="N14" s="34">
        <f t="shared" si="1"/>
        <v>0</v>
      </c>
      <c r="O14" s="34">
        <f t="shared" si="1"/>
        <v>0</v>
      </c>
      <c r="P14" s="34">
        <f t="shared" si="1"/>
        <v>0</v>
      </c>
      <c r="Q14" s="34">
        <f t="shared" si="1"/>
        <v>4569061.1</v>
      </c>
    </row>
    <row r="15" spans="1:17" s="8" customFormat="1" ht="38.25" hidden="1">
      <c r="A15" s="3"/>
      <c r="B15" s="42" t="s">
        <v>126</v>
      </c>
      <c r="C15" s="42"/>
      <c r="D15" s="42"/>
      <c r="E15" s="47" t="s">
        <v>127</v>
      </c>
      <c r="F15" s="33">
        <f>G15</f>
        <v>0</v>
      </c>
      <c r="G15" s="33">
        <v>0</v>
      </c>
      <c r="H15" s="34">
        <v>0</v>
      </c>
      <c r="I15" s="34">
        <v>0</v>
      </c>
      <c r="J15" s="34">
        <v>0</v>
      </c>
      <c r="K15" s="45">
        <f>L15+O15</f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4">
        <f>F15+K15</f>
        <v>0</v>
      </c>
    </row>
    <row r="16" spans="1:17" s="8" customFormat="1" ht="25.5" hidden="1">
      <c r="A16" s="3"/>
      <c r="B16" s="42" t="s">
        <v>131</v>
      </c>
      <c r="C16" s="42"/>
      <c r="D16" s="42"/>
      <c r="E16" s="47" t="s">
        <v>132</v>
      </c>
      <c r="F16" s="33">
        <f>G16+J16</f>
        <v>0</v>
      </c>
      <c r="G16" s="33">
        <v>0</v>
      </c>
      <c r="H16" s="33">
        <v>0</v>
      </c>
      <c r="I16" s="33">
        <v>0</v>
      </c>
      <c r="J16" s="33">
        <v>0</v>
      </c>
      <c r="K16" s="45">
        <f>L16+O16</f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4">
        <f>F16+K16</f>
        <v>0</v>
      </c>
    </row>
    <row r="17" spans="1:17" s="8" customFormat="1" ht="12.75">
      <c r="A17" s="3"/>
      <c r="B17" s="31" t="s">
        <v>38</v>
      </c>
      <c r="C17" s="31" t="s">
        <v>36</v>
      </c>
      <c r="D17" s="31" t="s">
        <v>37</v>
      </c>
      <c r="E17" s="44" t="s">
        <v>35</v>
      </c>
      <c r="F17" s="33">
        <f>G17</f>
        <v>4531783.1</v>
      </c>
      <c r="G17" s="33">
        <v>4531783.1</v>
      </c>
      <c r="H17" s="33">
        <v>2896823.35</v>
      </c>
      <c r="I17" s="33">
        <v>664615.57</v>
      </c>
      <c r="J17" s="33">
        <v>0</v>
      </c>
      <c r="K17" s="45">
        <f>L17+O17</f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4">
        <f>F17+K17</f>
        <v>4531783.1</v>
      </c>
    </row>
    <row r="18" spans="1:17" s="8" customFormat="1" ht="17.25" customHeight="1">
      <c r="A18" s="3"/>
      <c r="B18" s="31" t="s">
        <v>116</v>
      </c>
      <c r="C18" s="31" t="s">
        <v>123</v>
      </c>
      <c r="D18" s="31"/>
      <c r="E18" s="49" t="s">
        <v>115</v>
      </c>
      <c r="F18" s="33">
        <f>F19</f>
        <v>37278</v>
      </c>
      <c r="G18" s="33">
        <f aca="true" t="shared" si="2" ref="G18:P18">G19</f>
        <v>37278</v>
      </c>
      <c r="H18" s="33">
        <f t="shared" si="2"/>
        <v>0</v>
      </c>
      <c r="I18" s="33">
        <f t="shared" si="2"/>
        <v>0</v>
      </c>
      <c r="J18" s="33">
        <f t="shared" si="2"/>
        <v>0</v>
      </c>
      <c r="K18" s="33">
        <f t="shared" si="2"/>
        <v>0</v>
      </c>
      <c r="L18" s="33">
        <f t="shared" si="2"/>
        <v>0</v>
      </c>
      <c r="M18" s="33">
        <f t="shared" si="2"/>
        <v>0</v>
      </c>
      <c r="N18" s="33">
        <f t="shared" si="2"/>
        <v>0</v>
      </c>
      <c r="O18" s="33">
        <f t="shared" si="2"/>
        <v>0</v>
      </c>
      <c r="P18" s="33">
        <f t="shared" si="2"/>
        <v>0</v>
      </c>
      <c r="Q18" s="34">
        <f>F18+K18</f>
        <v>37278</v>
      </c>
    </row>
    <row r="19" spans="1:17" s="8" customFormat="1" ht="55.5" customHeight="1">
      <c r="A19" s="3"/>
      <c r="B19" s="28" t="s">
        <v>117</v>
      </c>
      <c r="C19" s="31" t="s">
        <v>119</v>
      </c>
      <c r="D19" s="31" t="s">
        <v>118</v>
      </c>
      <c r="E19" s="44" t="s">
        <v>120</v>
      </c>
      <c r="F19" s="33">
        <f>G19+H19+I19+J19</f>
        <v>37278</v>
      </c>
      <c r="G19" s="33">
        <v>37278</v>
      </c>
      <c r="H19" s="33">
        <v>0</v>
      </c>
      <c r="I19" s="33">
        <v>0</v>
      </c>
      <c r="J19" s="33">
        <v>0</v>
      </c>
      <c r="K19" s="45">
        <f>L19+O19</f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4">
        <f>F19+K19</f>
        <v>37278</v>
      </c>
    </row>
    <row r="20" s="8" customFormat="1" ht="12.75">
      <c r="A20" s="3"/>
    </row>
    <row r="21" spans="1:17" s="8" customFormat="1" ht="12.75" hidden="1">
      <c r="A21" s="3"/>
      <c r="B21" s="28"/>
      <c r="C21" s="31"/>
      <c r="D21" s="31"/>
      <c r="E21" s="46"/>
      <c r="F21" s="33"/>
      <c r="G21" s="33"/>
      <c r="H21" s="33"/>
      <c r="I21" s="33"/>
      <c r="J21" s="33"/>
      <c r="K21" s="45">
        <f>L21+O21</f>
        <v>0</v>
      </c>
      <c r="L21" s="33"/>
      <c r="M21" s="33"/>
      <c r="N21" s="33"/>
      <c r="O21" s="33"/>
      <c r="P21" s="33"/>
      <c r="Q21" s="34"/>
    </row>
    <row r="22" spans="1:17" s="8" customFormat="1" ht="12.75" hidden="1">
      <c r="A22" s="3"/>
      <c r="B22" s="29" t="s">
        <v>129</v>
      </c>
      <c r="C22" s="42"/>
      <c r="D22" s="42"/>
      <c r="E22" s="47" t="s">
        <v>16</v>
      </c>
      <c r="F22" s="34">
        <f>F26+F27+F25+F23</f>
        <v>201403.86000000002</v>
      </c>
      <c r="G22" s="34">
        <f aca="true" t="shared" si="3" ref="G22:Q22">G26+G27+G25+G23</f>
        <v>201403.86000000002</v>
      </c>
      <c r="H22" s="34">
        <f t="shared" si="3"/>
        <v>147669.62</v>
      </c>
      <c r="I22" s="34">
        <f t="shared" si="3"/>
        <v>0</v>
      </c>
      <c r="J22" s="34">
        <f t="shared" si="3"/>
        <v>0</v>
      </c>
      <c r="K22" s="34">
        <f t="shared" si="3"/>
        <v>0</v>
      </c>
      <c r="L22" s="34">
        <f t="shared" si="3"/>
        <v>0</v>
      </c>
      <c r="M22" s="34">
        <f t="shared" si="3"/>
        <v>0</v>
      </c>
      <c r="N22" s="34">
        <f t="shared" si="3"/>
        <v>0</v>
      </c>
      <c r="O22" s="34">
        <f t="shared" si="3"/>
        <v>0</v>
      </c>
      <c r="P22" s="34">
        <f t="shared" si="3"/>
        <v>0</v>
      </c>
      <c r="Q22" s="34">
        <f t="shared" si="3"/>
        <v>201403.86000000002</v>
      </c>
    </row>
    <row r="23" spans="1:17" s="8" customFormat="1" ht="38.25" hidden="1">
      <c r="A23" s="3"/>
      <c r="B23" s="29" t="s">
        <v>130</v>
      </c>
      <c r="C23" s="42"/>
      <c r="D23" s="42"/>
      <c r="E23" s="47" t="s">
        <v>127</v>
      </c>
      <c r="F23" s="33">
        <f>G23</f>
        <v>0</v>
      </c>
      <c r="G23" s="33">
        <v>0</v>
      </c>
      <c r="H23" s="33">
        <v>0</v>
      </c>
      <c r="I23" s="33">
        <v>0</v>
      </c>
      <c r="J23" s="33">
        <v>0</v>
      </c>
      <c r="K23" s="45">
        <f>L23+O23</f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4">
        <f>F23+K23</f>
        <v>0</v>
      </c>
    </row>
    <row r="24" spans="1:17" s="8" customFormat="1" ht="12.75" hidden="1">
      <c r="A24" s="3"/>
      <c r="B24" s="29"/>
      <c r="C24" s="42"/>
      <c r="D24" s="42"/>
      <c r="E24" s="47"/>
      <c r="F24" s="33"/>
      <c r="G24" s="33"/>
      <c r="H24" s="33"/>
      <c r="I24" s="33"/>
      <c r="J24" s="33"/>
      <c r="K24" s="45"/>
      <c r="L24" s="33"/>
      <c r="M24" s="33"/>
      <c r="N24" s="33"/>
      <c r="O24" s="33"/>
      <c r="P24" s="33"/>
      <c r="Q24" s="34"/>
    </row>
    <row r="25" spans="1:17" s="8" customFormat="1" ht="12.75">
      <c r="A25" s="3"/>
      <c r="B25" s="28" t="s">
        <v>84</v>
      </c>
      <c r="C25" s="31" t="s">
        <v>83</v>
      </c>
      <c r="D25" s="31" t="s">
        <v>85</v>
      </c>
      <c r="E25" s="44" t="s">
        <v>86</v>
      </c>
      <c r="F25" s="33">
        <f>G25</f>
        <v>41598.94</v>
      </c>
      <c r="G25" s="33">
        <v>41598.94</v>
      </c>
      <c r="H25" s="33">
        <v>34098.6</v>
      </c>
      <c r="I25" s="33">
        <v>0</v>
      </c>
      <c r="J25" s="33">
        <v>0</v>
      </c>
      <c r="K25" s="45">
        <f>L25+O25</f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4">
        <f>F25+K25</f>
        <v>41598.94</v>
      </c>
    </row>
    <row r="26" spans="1:17" s="8" customFormat="1" ht="25.5">
      <c r="A26" s="3"/>
      <c r="B26" s="31" t="s">
        <v>45</v>
      </c>
      <c r="C26" s="31" t="s">
        <v>46</v>
      </c>
      <c r="D26" s="31" t="s">
        <v>79</v>
      </c>
      <c r="E26" s="36" t="s">
        <v>80</v>
      </c>
      <c r="F26" s="33">
        <f>G26</f>
        <v>138209.92</v>
      </c>
      <c r="G26" s="16">
        <v>138209.92</v>
      </c>
      <c r="H26" s="16">
        <v>113571.02</v>
      </c>
      <c r="I26" s="16">
        <v>0</v>
      </c>
      <c r="J26" s="16">
        <v>0</v>
      </c>
      <c r="K26" s="45">
        <f>L26+O26</f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34">
        <f>F26+K26</f>
        <v>138209.92</v>
      </c>
    </row>
    <row r="27" spans="1:17" s="8" customFormat="1" ht="12.75">
      <c r="A27" s="3"/>
      <c r="B27" s="31" t="s">
        <v>47</v>
      </c>
      <c r="C27" s="31" t="s">
        <v>48</v>
      </c>
      <c r="D27" s="31" t="s">
        <v>87</v>
      </c>
      <c r="E27" s="49" t="s">
        <v>4</v>
      </c>
      <c r="F27" s="33">
        <f>G27+H27+I27+J27</f>
        <v>21595</v>
      </c>
      <c r="G27" s="33">
        <v>21595</v>
      </c>
      <c r="H27" s="33">
        <v>0</v>
      </c>
      <c r="I27" s="33">
        <v>0</v>
      </c>
      <c r="J27" s="33">
        <v>0</v>
      </c>
      <c r="K27" s="45">
        <f>L27+O27</f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4">
        <f>F27+K27</f>
        <v>21595</v>
      </c>
    </row>
    <row r="28" spans="1:17" s="8" customFormat="1" ht="12.75" hidden="1">
      <c r="A28" s="3"/>
      <c r="B28" s="31"/>
      <c r="C28" s="31"/>
      <c r="D28" s="31"/>
      <c r="E28" s="44"/>
      <c r="F28" s="33"/>
      <c r="G28" s="33"/>
      <c r="H28" s="33"/>
      <c r="I28" s="33"/>
      <c r="J28" s="33"/>
      <c r="K28" s="45"/>
      <c r="L28" s="33"/>
      <c r="M28" s="33"/>
      <c r="N28" s="33"/>
      <c r="O28" s="33"/>
      <c r="P28" s="33"/>
      <c r="Q28" s="34"/>
    </row>
    <row r="29" spans="1:17" s="8" customFormat="1" ht="12.75" hidden="1">
      <c r="A29" s="3"/>
      <c r="B29" s="31"/>
      <c r="C29" s="31"/>
      <c r="D29" s="31"/>
      <c r="E29" s="44"/>
      <c r="F29" s="33"/>
      <c r="G29" s="33"/>
      <c r="H29" s="33"/>
      <c r="I29" s="33"/>
      <c r="J29" s="33"/>
      <c r="K29" s="45"/>
      <c r="L29" s="33"/>
      <c r="M29" s="33"/>
      <c r="N29" s="33"/>
      <c r="O29" s="33"/>
      <c r="P29" s="33"/>
      <c r="Q29" s="34"/>
    </row>
    <row r="30" spans="1:17" s="8" customFormat="1" ht="12.75">
      <c r="A30" s="3"/>
      <c r="B30" s="28" t="s">
        <v>41</v>
      </c>
      <c r="C30" s="31" t="s">
        <v>39</v>
      </c>
      <c r="D30" s="31" t="s">
        <v>40</v>
      </c>
      <c r="E30" s="44" t="s">
        <v>78</v>
      </c>
      <c r="F30" s="33">
        <f>G30+H30+I30+J30</f>
        <v>240000</v>
      </c>
      <c r="G30" s="33">
        <f>180000+60000</f>
        <v>240000</v>
      </c>
      <c r="H30" s="33">
        <v>0</v>
      </c>
      <c r="I30" s="33">
        <v>0</v>
      </c>
      <c r="J30" s="33">
        <v>0</v>
      </c>
      <c r="K30" s="45">
        <f>L30+O30</f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4">
        <f>F30+K30</f>
        <v>240000</v>
      </c>
    </row>
    <row r="31" spans="1:17" s="8" customFormat="1" ht="62.25" customHeight="1">
      <c r="A31" s="3"/>
      <c r="B31" s="28" t="s">
        <v>43</v>
      </c>
      <c r="C31" s="31" t="s">
        <v>42</v>
      </c>
      <c r="D31" s="31" t="s">
        <v>44</v>
      </c>
      <c r="E31" s="276" t="s">
        <v>77</v>
      </c>
      <c r="F31" s="33">
        <f>G31+H31+I31+J31</f>
        <v>150000</v>
      </c>
      <c r="G31" s="33">
        <v>150000</v>
      </c>
      <c r="H31" s="33">
        <v>0</v>
      </c>
      <c r="I31" s="33">
        <v>0</v>
      </c>
      <c r="J31" s="33">
        <v>0</v>
      </c>
      <c r="K31" s="45">
        <f>L31+O31</f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4">
        <f>F31+K31</f>
        <v>150000</v>
      </c>
    </row>
    <row r="32" spans="1:17" s="8" customFormat="1" ht="12.75">
      <c r="A32" s="3"/>
      <c r="B32" s="31" t="s">
        <v>91</v>
      </c>
      <c r="C32" s="31" t="s">
        <v>92</v>
      </c>
      <c r="D32" s="31"/>
      <c r="E32" s="277" t="s">
        <v>96</v>
      </c>
      <c r="F32" s="45">
        <f>F33</f>
        <v>0</v>
      </c>
      <c r="G32" s="45">
        <f>G33</f>
        <v>0</v>
      </c>
      <c r="H32" s="45">
        <f>H33</f>
        <v>0</v>
      </c>
      <c r="I32" s="45">
        <f>I33</f>
        <v>0</v>
      </c>
      <c r="J32" s="45">
        <f>J33</f>
        <v>0</v>
      </c>
      <c r="K32" s="45">
        <f aca="true" t="shared" si="4" ref="K32:P32">K33</f>
        <v>114973</v>
      </c>
      <c r="L32" s="45">
        <f t="shared" si="4"/>
        <v>0</v>
      </c>
      <c r="M32" s="45">
        <f t="shared" si="4"/>
        <v>0</v>
      </c>
      <c r="N32" s="45">
        <f t="shared" si="4"/>
        <v>0</v>
      </c>
      <c r="O32" s="45">
        <f t="shared" si="4"/>
        <v>114973</v>
      </c>
      <c r="P32" s="45">
        <f t="shared" si="4"/>
        <v>114973</v>
      </c>
      <c r="Q32" s="34">
        <f>F32+K32</f>
        <v>114973</v>
      </c>
    </row>
    <row r="33" spans="1:17" s="8" customFormat="1" ht="12.75">
      <c r="A33" s="3"/>
      <c r="B33" s="31" t="s">
        <v>93</v>
      </c>
      <c r="C33" s="31" t="s">
        <v>94</v>
      </c>
      <c r="D33" s="31" t="s">
        <v>95</v>
      </c>
      <c r="E33" s="48" t="s">
        <v>97</v>
      </c>
      <c r="F33" s="33">
        <f>G33+H33+I33+J33</f>
        <v>0</v>
      </c>
      <c r="G33" s="33">
        <v>0</v>
      </c>
      <c r="H33" s="33">
        <v>0</v>
      </c>
      <c r="I33" s="33">
        <v>0</v>
      </c>
      <c r="J33" s="33">
        <v>0</v>
      </c>
      <c r="K33" s="45">
        <f>L33+O33</f>
        <v>114973</v>
      </c>
      <c r="L33" s="33">
        <v>0</v>
      </c>
      <c r="M33" s="33">
        <v>0</v>
      </c>
      <c r="N33" s="33">
        <v>0</v>
      </c>
      <c r="O33" s="33">
        <v>114973</v>
      </c>
      <c r="P33" s="33">
        <v>114973</v>
      </c>
      <c r="Q33" s="34">
        <f>F33+K33</f>
        <v>114973</v>
      </c>
    </row>
    <row r="34" spans="1:17" s="8" customFormat="1" ht="25.5">
      <c r="A34" s="3"/>
      <c r="B34" s="31" t="s">
        <v>100</v>
      </c>
      <c r="C34" s="31" t="s">
        <v>101</v>
      </c>
      <c r="D34" s="31"/>
      <c r="E34" s="48" t="s">
        <v>98</v>
      </c>
      <c r="F34" s="33">
        <f>F36+F35</f>
        <v>75000</v>
      </c>
      <c r="G34" s="33">
        <f aca="true" t="shared" si="5" ref="G34:Q34">G36+G35</f>
        <v>0</v>
      </c>
      <c r="H34" s="33">
        <f t="shared" si="5"/>
        <v>0</v>
      </c>
      <c r="I34" s="33">
        <f t="shared" si="5"/>
        <v>0</v>
      </c>
      <c r="J34" s="33">
        <f t="shared" si="5"/>
        <v>75000</v>
      </c>
      <c r="K34" s="33">
        <f t="shared" si="5"/>
        <v>0</v>
      </c>
      <c r="L34" s="33">
        <f t="shared" si="5"/>
        <v>0</v>
      </c>
      <c r="M34" s="33">
        <f t="shared" si="5"/>
        <v>0</v>
      </c>
      <c r="N34" s="33">
        <f t="shared" si="5"/>
        <v>0</v>
      </c>
      <c r="O34" s="33">
        <f t="shared" si="5"/>
        <v>0</v>
      </c>
      <c r="P34" s="33">
        <f t="shared" si="5"/>
        <v>0</v>
      </c>
      <c r="Q34" s="34">
        <f t="shared" si="5"/>
        <v>75000</v>
      </c>
    </row>
    <row r="35" spans="1:17" s="8" customFormat="1" ht="12.75">
      <c r="A35" s="3"/>
      <c r="B35" s="31" t="s">
        <v>124</v>
      </c>
      <c r="C35" s="31" t="s">
        <v>349</v>
      </c>
      <c r="D35" s="31" t="s">
        <v>95</v>
      </c>
      <c r="E35" s="276" t="s">
        <v>125</v>
      </c>
      <c r="F35" s="33">
        <f>G35+H35+I35+J35</f>
        <v>50000</v>
      </c>
      <c r="G35" s="33">
        <v>0</v>
      </c>
      <c r="H35" s="33">
        <f>H37</f>
        <v>0</v>
      </c>
      <c r="I35" s="33">
        <f>I37</f>
        <v>0</v>
      </c>
      <c r="J35" s="33">
        <v>50000</v>
      </c>
      <c r="K35" s="45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4">
        <f aca="true" t="shared" si="6" ref="Q35:Q40">F35+K35</f>
        <v>50000</v>
      </c>
    </row>
    <row r="36" spans="1:17" s="8" customFormat="1" ht="27.75" customHeight="1">
      <c r="A36" s="3"/>
      <c r="B36" s="31" t="s">
        <v>102</v>
      </c>
      <c r="C36" s="31" t="s">
        <v>103</v>
      </c>
      <c r="D36" s="31" t="s">
        <v>27</v>
      </c>
      <c r="E36" s="276" t="s">
        <v>99</v>
      </c>
      <c r="F36" s="33">
        <f>G36+H36+I36+J36</f>
        <v>25000</v>
      </c>
      <c r="G36" s="33">
        <v>0</v>
      </c>
      <c r="H36" s="33">
        <v>0</v>
      </c>
      <c r="I36" s="33">
        <v>0</v>
      </c>
      <c r="J36" s="33">
        <v>25000</v>
      </c>
      <c r="K36" s="45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4">
        <f t="shared" si="6"/>
        <v>25000</v>
      </c>
    </row>
    <row r="37" spans="1:17" s="8" customFormat="1" ht="12.75">
      <c r="A37" s="3"/>
      <c r="B37" s="24" t="s">
        <v>25</v>
      </c>
      <c r="C37" s="24" t="s">
        <v>26</v>
      </c>
      <c r="D37" s="24" t="s">
        <v>27</v>
      </c>
      <c r="E37" s="44" t="s">
        <v>52</v>
      </c>
      <c r="F37" s="33">
        <f>G37+H37+I37+J37</f>
        <v>3207787</v>
      </c>
      <c r="G37" s="33">
        <f>378600+521527+37500</f>
        <v>937627</v>
      </c>
      <c r="H37" s="33">
        <v>0</v>
      </c>
      <c r="I37" s="33">
        <v>0</v>
      </c>
      <c r="J37" s="33">
        <f>2200000+70160</f>
        <v>2270160</v>
      </c>
      <c r="K37" s="45">
        <f>L37+O37</f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4">
        <f t="shared" si="6"/>
        <v>3207787</v>
      </c>
    </row>
    <row r="38" spans="1:17" s="8" customFormat="1" ht="24.75" customHeight="1">
      <c r="A38" s="3"/>
      <c r="B38" s="31" t="s">
        <v>49</v>
      </c>
      <c r="C38" s="31" t="s">
        <v>50</v>
      </c>
      <c r="D38" s="31" t="s">
        <v>51</v>
      </c>
      <c r="E38" s="49" t="s">
        <v>81</v>
      </c>
      <c r="F38" s="33">
        <f>G38+H38+I38+J38</f>
        <v>0</v>
      </c>
      <c r="G38" s="33">
        <v>0</v>
      </c>
      <c r="H38" s="33">
        <v>0</v>
      </c>
      <c r="I38" s="33">
        <v>0</v>
      </c>
      <c r="J38" s="33">
        <v>0</v>
      </c>
      <c r="K38" s="45">
        <f>L38+O38</f>
        <v>3222677</v>
      </c>
      <c r="L38" s="33">
        <v>0</v>
      </c>
      <c r="M38" s="33">
        <v>0</v>
      </c>
      <c r="N38" s="33">
        <v>0</v>
      </c>
      <c r="O38" s="33">
        <f>P38</f>
        <v>3222677</v>
      </c>
      <c r="P38" s="33">
        <f>2085027+73650+1064000</f>
        <v>3222677</v>
      </c>
      <c r="Q38" s="34">
        <f t="shared" si="6"/>
        <v>3222677</v>
      </c>
    </row>
    <row r="39" spans="1:17" s="8" customFormat="1" ht="12.75">
      <c r="A39" s="3"/>
      <c r="B39" s="31" t="s">
        <v>55</v>
      </c>
      <c r="C39" s="31" t="s">
        <v>53</v>
      </c>
      <c r="D39" s="31" t="s">
        <v>54</v>
      </c>
      <c r="E39" s="44" t="s">
        <v>82</v>
      </c>
      <c r="F39" s="33">
        <f>G39+H39+I39+J39</f>
        <v>12773840</v>
      </c>
      <c r="G39" s="45">
        <v>12773840</v>
      </c>
      <c r="H39" s="45">
        <v>0</v>
      </c>
      <c r="I39" s="45">
        <v>0</v>
      </c>
      <c r="J39" s="45">
        <v>0</v>
      </c>
      <c r="K39" s="45">
        <f>L39+O39</f>
        <v>2500000</v>
      </c>
      <c r="L39" s="45">
        <v>0</v>
      </c>
      <c r="M39" s="45">
        <v>0</v>
      </c>
      <c r="N39" s="45">
        <v>0</v>
      </c>
      <c r="O39" s="45">
        <f>P39</f>
        <v>2500000</v>
      </c>
      <c r="P39" s="45">
        <v>2500000</v>
      </c>
      <c r="Q39" s="34">
        <f t="shared" si="6"/>
        <v>15273840</v>
      </c>
    </row>
    <row r="40" spans="1:17" s="8" customFormat="1" ht="17.25" customHeight="1">
      <c r="A40" s="3"/>
      <c r="B40" s="31" t="s">
        <v>57</v>
      </c>
      <c r="C40" s="31" t="s">
        <v>58</v>
      </c>
      <c r="D40" s="31" t="s">
        <v>59</v>
      </c>
      <c r="E40" s="44" t="s">
        <v>17</v>
      </c>
      <c r="F40" s="33">
        <f>G40</f>
        <v>0</v>
      </c>
      <c r="G40" s="45">
        <v>0</v>
      </c>
      <c r="H40" s="45">
        <v>0</v>
      </c>
      <c r="I40" s="45">
        <v>0</v>
      </c>
      <c r="J40" s="45">
        <v>0</v>
      </c>
      <c r="K40" s="45">
        <f>L40</f>
        <v>21000</v>
      </c>
      <c r="L40" s="45">
        <v>21000</v>
      </c>
      <c r="M40" s="45">
        <v>0</v>
      </c>
      <c r="N40" s="45">
        <v>0</v>
      </c>
      <c r="O40" s="45">
        <v>0</v>
      </c>
      <c r="P40" s="45">
        <v>0</v>
      </c>
      <c r="Q40" s="34">
        <f t="shared" si="6"/>
        <v>21000</v>
      </c>
    </row>
    <row r="41" spans="1:17" s="8" customFormat="1" ht="9" customHeight="1" hidden="1">
      <c r="A41" s="3"/>
      <c r="B41" s="31"/>
      <c r="C41" s="31"/>
      <c r="D41" s="31"/>
      <c r="E41" s="44"/>
      <c r="F41" s="33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34"/>
    </row>
    <row r="42" spans="1:17" s="8" customFormat="1" ht="9" customHeight="1" hidden="1">
      <c r="A42" s="3"/>
      <c r="B42" s="31"/>
      <c r="C42" s="31"/>
      <c r="D42" s="31"/>
      <c r="E42" s="44"/>
      <c r="F42" s="33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34"/>
    </row>
    <row r="43" spans="1:17" s="8" customFormat="1" ht="45.75" customHeight="1">
      <c r="A43" s="3"/>
      <c r="B43" s="31" t="s">
        <v>60</v>
      </c>
      <c r="C43" s="31" t="s">
        <v>61</v>
      </c>
      <c r="D43" s="31" t="s">
        <v>29</v>
      </c>
      <c r="E43" s="44" t="s">
        <v>18</v>
      </c>
      <c r="F43" s="33">
        <f>G43+H43+I43+J43</f>
        <v>0</v>
      </c>
      <c r="G43" s="33">
        <v>0</v>
      </c>
      <c r="H43" s="33">
        <v>0</v>
      </c>
      <c r="I43" s="33">
        <v>0</v>
      </c>
      <c r="J43" s="33">
        <v>0</v>
      </c>
      <c r="K43" s="45">
        <f>L43+O43</f>
        <v>446000</v>
      </c>
      <c r="L43" s="33">
        <v>446000</v>
      </c>
      <c r="M43" s="33">
        <v>0</v>
      </c>
      <c r="N43" s="33">
        <v>0</v>
      </c>
      <c r="O43" s="33">
        <v>0</v>
      </c>
      <c r="P43" s="33">
        <v>0</v>
      </c>
      <c r="Q43" s="34">
        <f>F43+K43</f>
        <v>446000</v>
      </c>
    </row>
    <row r="44" spans="1:17" s="8" customFormat="1" ht="153" customHeight="1">
      <c r="A44" s="3"/>
      <c r="B44" s="31" t="s">
        <v>88</v>
      </c>
      <c r="C44" s="31" t="s">
        <v>89</v>
      </c>
      <c r="D44" s="31"/>
      <c r="E44" s="44" t="s">
        <v>90</v>
      </c>
      <c r="F44" s="33">
        <f>F45</f>
        <v>545000</v>
      </c>
      <c r="G44" s="33">
        <f aca="true" t="shared" si="7" ref="G44:Q44">G45</f>
        <v>545000</v>
      </c>
      <c r="H44" s="33">
        <f t="shared" si="7"/>
        <v>0</v>
      </c>
      <c r="I44" s="33">
        <f t="shared" si="7"/>
        <v>0</v>
      </c>
      <c r="J44" s="33">
        <f t="shared" si="7"/>
        <v>0</v>
      </c>
      <c r="K44" s="45">
        <f>L44</f>
        <v>0</v>
      </c>
      <c r="L44" s="33">
        <f t="shared" si="7"/>
        <v>0</v>
      </c>
      <c r="M44" s="33">
        <f t="shared" si="7"/>
        <v>0</v>
      </c>
      <c r="N44" s="33">
        <f t="shared" si="7"/>
        <v>0</v>
      </c>
      <c r="O44" s="33">
        <f t="shared" si="7"/>
        <v>0</v>
      </c>
      <c r="P44" s="33">
        <f t="shared" si="7"/>
        <v>0</v>
      </c>
      <c r="Q44" s="34">
        <f t="shared" si="7"/>
        <v>545000</v>
      </c>
    </row>
    <row r="45" spans="1:17" s="8" customFormat="1" ht="49.5" customHeight="1">
      <c r="A45" s="3"/>
      <c r="B45" s="31" t="s">
        <v>62</v>
      </c>
      <c r="C45" s="31" t="s">
        <v>63</v>
      </c>
      <c r="D45" s="31" t="s">
        <v>64</v>
      </c>
      <c r="E45" s="44" t="s">
        <v>19</v>
      </c>
      <c r="F45" s="33">
        <f>G45+H45+I45+J45</f>
        <v>545000</v>
      </c>
      <c r="G45" s="33">
        <f>350000+75000+120000</f>
        <v>545000</v>
      </c>
      <c r="H45" s="33">
        <v>0</v>
      </c>
      <c r="I45" s="33">
        <v>0</v>
      </c>
      <c r="J45" s="33">
        <v>0</v>
      </c>
      <c r="K45" s="45">
        <f>L45</f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4">
        <f>F45+K45</f>
        <v>545000</v>
      </c>
    </row>
    <row r="46" spans="1:17" s="8" customFormat="1" ht="12.75">
      <c r="A46" s="3"/>
      <c r="B46" s="42"/>
      <c r="C46" s="31"/>
      <c r="D46" s="31"/>
      <c r="E46" s="46"/>
      <c r="F46" s="33"/>
      <c r="G46" s="33"/>
      <c r="H46" s="33"/>
      <c r="I46" s="33"/>
      <c r="J46" s="33"/>
      <c r="K46" s="45"/>
      <c r="L46" s="33"/>
      <c r="M46" s="33"/>
      <c r="N46" s="33"/>
      <c r="O46" s="33"/>
      <c r="P46" s="33"/>
      <c r="Q46" s="34"/>
    </row>
    <row r="47" spans="1:17" s="8" customFormat="1" ht="25.5">
      <c r="A47" s="3"/>
      <c r="B47" s="42" t="s">
        <v>350</v>
      </c>
      <c r="C47" s="42"/>
      <c r="D47" s="42"/>
      <c r="E47" s="47" t="s">
        <v>369</v>
      </c>
      <c r="F47" s="34">
        <f>F48</f>
        <v>17247147.9</v>
      </c>
      <c r="G47" s="34">
        <f aca="true" t="shared" si="8" ref="G47:Q47">G48</f>
        <v>17247147.9</v>
      </c>
      <c r="H47" s="34">
        <f t="shared" si="8"/>
        <v>10329713.65</v>
      </c>
      <c r="I47" s="34">
        <f t="shared" si="8"/>
        <v>2422714.4299999997</v>
      </c>
      <c r="J47" s="34">
        <f t="shared" si="8"/>
        <v>0</v>
      </c>
      <c r="K47" s="34">
        <f t="shared" si="8"/>
        <v>910000</v>
      </c>
      <c r="L47" s="34">
        <f t="shared" si="8"/>
        <v>880000</v>
      </c>
      <c r="M47" s="34">
        <f t="shared" si="8"/>
        <v>0</v>
      </c>
      <c r="N47" s="34">
        <f t="shared" si="8"/>
        <v>0</v>
      </c>
      <c r="O47" s="34">
        <f t="shared" si="8"/>
        <v>30000</v>
      </c>
      <c r="P47" s="34">
        <f t="shared" si="8"/>
        <v>30000</v>
      </c>
      <c r="Q47" s="34">
        <f t="shared" si="8"/>
        <v>18157147.9</v>
      </c>
    </row>
    <row r="48" spans="1:17" s="8" customFormat="1" ht="25.5">
      <c r="A48" s="3"/>
      <c r="B48" s="42" t="s">
        <v>352</v>
      </c>
      <c r="C48" s="42"/>
      <c r="D48" s="42"/>
      <c r="E48" s="47" t="s">
        <v>351</v>
      </c>
      <c r="F48" s="34">
        <f>F49+F51+F52+F53+F54</f>
        <v>17247147.9</v>
      </c>
      <c r="G48" s="34">
        <f aca="true" t="shared" si="9" ref="G48:Q48">G49+G51+G52+G53+G54</f>
        <v>17247147.9</v>
      </c>
      <c r="H48" s="34">
        <f t="shared" si="9"/>
        <v>10329713.65</v>
      </c>
      <c r="I48" s="34">
        <f t="shared" si="9"/>
        <v>2422714.4299999997</v>
      </c>
      <c r="J48" s="34">
        <f t="shared" si="9"/>
        <v>0</v>
      </c>
      <c r="K48" s="34">
        <f t="shared" si="9"/>
        <v>910000</v>
      </c>
      <c r="L48" s="34">
        <f t="shared" si="9"/>
        <v>880000</v>
      </c>
      <c r="M48" s="34">
        <f t="shared" si="9"/>
        <v>0</v>
      </c>
      <c r="N48" s="34">
        <f t="shared" si="9"/>
        <v>0</v>
      </c>
      <c r="O48" s="34">
        <f t="shared" si="9"/>
        <v>30000</v>
      </c>
      <c r="P48" s="34">
        <f t="shared" si="9"/>
        <v>30000</v>
      </c>
      <c r="Q48" s="34">
        <f t="shared" si="9"/>
        <v>18157147.9</v>
      </c>
    </row>
    <row r="49" spans="1:17" s="8" customFormat="1" ht="36.75" customHeight="1">
      <c r="A49" s="3"/>
      <c r="B49" s="42" t="s">
        <v>353</v>
      </c>
      <c r="C49" s="42" t="s">
        <v>67</v>
      </c>
      <c r="D49" s="42" t="s">
        <v>33</v>
      </c>
      <c r="E49" s="47" t="s">
        <v>374</v>
      </c>
      <c r="F49" s="33">
        <f>G49</f>
        <v>219083</v>
      </c>
      <c r="G49" s="33">
        <v>219083</v>
      </c>
      <c r="H49" s="34">
        <v>149000</v>
      </c>
      <c r="I49" s="34">
        <v>20000</v>
      </c>
      <c r="J49" s="34">
        <v>0</v>
      </c>
      <c r="K49" s="45">
        <f>L49+O49</f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4">
        <f aca="true" t="shared" si="10" ref="Q49:Q55">F49+K49</f>
        <v>219083</v>
      </c>
    </row>
    <row r="50" spans="1:17" s="8" customFormat="1" ht="27" customHeight="1">
      <c r="A50" s="3"/>
      <c r="B50" s="42" t="s">
        <v>370</v>
      </c>
      <c r="C50" s="42"/>
      <c r="D50" s="42"/>
      <c r="E50" s="47" t="s">
        <v>373</v>
      </c>
      <c r="F50" s="34">
        <f>F51</f>
        <v>426100</v>
      </c>
      <c r="G50" s="34">
        <f aca="true" t="shared" si="11" ref="G50:Q50">G51</f>
        <v>426100</v>
      </c>
      <c r="H50" s="34">
        <f t="shared" si="11"/>
        <v>169000</v>
      </c>
      <c r="I50" s="34">
        <f t="shared" si="11"/>
        <v>26100</v>
      </c>
      <c r="J50" s="34">
        <f t="shared" si="11"/>
        <v>0</v>
      </c>
      <c r="K50" s="34">
        <f t="shared" si="11"/>
        <v>30000</v>
      </c>
      <c r="L50" s="34">
        <f t="shared" si="11"/>
        <v>0</v>
      </c>
      <c r="M50" s="34">
        <f t="shared" si="11"/>
        <v>0</v>
      </c>
      <c r="N50" s="34">
        <f t="shared" si="11"/>
        <v>0</v>
      </c>
      <c r="O50" s="34">
        <f t="shared" si="11"/>
        <v>30000</v>
      </c>
      <c r="P50" s="34">
        <f t="shared" si="11"/>
        <v>30000</v>
      </c>
      <c r="Q50" s="34">
        <f t="shared" si="11"/>
        <v>456100</v>
      </c>
    </row>
    <row r="51" spans="1:17" s="8" customFormat="1" ht="25.5">
      <c r="A51" s="3"/>
      <c r="B51" s="31" t="s">
        <v>354</v>
      </c>
      <c r="C51" s="31" t="s">
        <v>371</v>
      </c>
      <c r="D51" s="31" t="s">
        <v>372</v>
      </c>
      <c r="E51" s="44" t="s">
        <v>132</v>
      </c>
      <c r="F51" s="33">
        <f>G51+J51</f>
        <v>426100</v>
      </c>
      <c r="G51" s="33">
        <v>426100</v>
      </c>
      <c r="H51" s="33">
        <v>169000</v>
      </c>
      <c r="I51" s="33">
        <v>26100</v>
      </c>
      <c r="J51" s="33">
        <v>0</v>
      </c>
      <c r="K51" s="45">
        <f>L51+O51</f>
        <v>30000</v>
      </c>
      <c r="L51" s="33">
        <v>0</v>
      </c>
      <c r="M51" s="33">
        <v>0</v>
      </c>
      <c r="N51" s="33">
        <v>0</v>
      </c>
      <c r="O51" s="33">
        <f>P51</f>
        <v>30000</v>
      </c>
      <c r="P51" s="33">
        <v>30000</v>
      </c>
      <c r="Q51" s="34">
        <f t="shared" si="10"/>
        <v>456100</v>
      </c>
    </row>
    <row r="52" spans="1:17" s="8" customFormat="1" ht="19.5" customHeight="1">
      <c r="A52" s="3"/>
      <c r="B52" s="31" t="s">
        <v>355</v>
      </c>
      <c r="C52" s="31" t="s">
        <v>36</v>
      </c>
      <c r="D52" s="31" t="s">
        <v>37</v>
      </c>
      <c r="E52" s="44" t="s">
        <v>35</v>
      </c>
      <c r="F52" s="33">
        <f>G52</f>
        <v>15386662.9</v>
      </c>
      <c r="G52" s="33">
        <v>15386662.9</v>
      </c>
      <c r="H52" s="33">
        <v>9376713.65</v>
      </c>
      <c r="I52" s="33">
        <v>2016614.43</v>
      </c>
      <c r="J52" s="33">
        <v>0</v>
      </c>
      <c r="K52" s="45">
        <f>L52+O52</f>
        <v>880000</v>
      </c>
      <c r="L52" s="33">
        <v>880000</v>
      </c>
      <c r="M52" s="33">
        <v>0</v>
      </c>
      <c r="N52" s="33">
        <v>0</v>
      </c>
      <c r="O52" s="33">
        <v>0</v>
      </c>
      <c r="P52" s="33">
        <v>0</v>
      </c>
      <c r="Q52" s="34">
        <f t="shared" si="10"/>
        <v>16266662.9</v>
      </c>
    </row>
    <row r="53" spans="1:17" s="8" customFormat="1" ht="30.75" customHeight="1">
      <c r="A53" s="3"/>
      <c r="B53" s="31" t="s">
        <v>356</v>
      </c>
      <c r="C53" s="31" t="s">
        <v>40</v>
      </c>
      <c r="D53" s="31" t="s">
        <v>230</v>
      </c>
      <c r="E53" s="44" t="s">
        <v>232</v>
      </c>
      <c r="F53" s="33">
        <f>G53</f>
        <v>1202580</v>
      </c>
      <c r="G53" s="33">
        <v>1202580</v>
      </c>
      <c r="H53" s="33">
        <v>635000</v>
      </c>
      <c r="I53" s="33">
        <v>360000</v>
      </c>
      <c r="J53" s="33">
        <v>0</v>
      </c>
      <c r="K53" s="45">
        <f>L53+O53</f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4">
        <f t="shared" si="10"/>
        <v>1202580</v>
      </c>
    </row>
    <row r="54" spans="1:17" s="8" customFormat="1" ht="21" customHeight="1">
      <c r="A54" s="3"/>
      <c r="B54" s="31" t="s">
        <v>357</v>
      </c>
      <c r="C54" s="31" t="s">
        <v>123</v>
      </c>
      <c r="D54" s="31"/>
      <c r="E54" s="49" t="s">
        <v>115</v>
      </c>
      <c r="F54" s="33">
        <f>F55</f>
        <v>12722</v>
      </c>
      <c r="G54" s="33">
        <f aca="true" t="shared" si="12" ref="G54:P54">G55</f>
        <v>12722</v>
      </c>
      <c r="H54" s="33">
        <f t="shared" si="12"/>
        <v>0</v>
      </c>
      <c r="I54" s="33">
        <f t="shared" si="12"/>
        <v>0</v>
      </c>
      <c r="J54" s="33">
        <f t="shared" si="12"/>
        <v>0</v>
      </c>
      <c r="K54" s="33">
        <f t="shared" si="12"/>
        <v>0</v>
      </c>
      <c r="L54" s="33">
        <f t="shared" si="12"/>
        <v>0</v>
      </c>
      <c r="M54" s="33">
        <f t="shared" si="12"/>
        <v>0</v>
      </c>
      <c r="N54" s="33">
        <f t="shared" si="12"/>
        <v>0</v>
      </c>
      <c r="O54" s="33">
        <f t="shared" si="12"/>
        <v>0</v>
      </c>
      <c r="P54" s="33">
        <f t="shared" si="12"/>
        <v>0</v>
      </c>
      <c r="Q54" s="34">
        <f t="shared" si="10"/>
        <v>12722</v>
      </c>
    </row>
    <row r="55" spans="1:17" s="8" customFormat="1" ht="51.75" customHeight="1">
      <c r="A55" s="3"/>
      <c r="B55" s="28" t="s">
        <v>358</v>
      </c>
      <c r="C55" s="31" t="s">
        <v>119</v>
      </c>
      <c r="D55" s="31" t="s">
        <v>118</v>
      </c>
      <c r="E55" s="44" t="s">
        <v>120</v>
      </c>
      <c r="F55" s="33">
        <f>G55+H55+I55+J55</f>
        <v>12722</v>
      </c>
      <c r="G55" s="33">
        <v>12722</v>
      </c>
      <c r="H55" s="33">
        <v>0</v>
      </c>
      <c r="I55" s="33">
        <v>0</v>
      </c>
      <c r="J55" s="33">
        <v>0</v>
      </c>
      <c r="K55" s="45">
        <f>L55+O55</f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4">
        <f t="shared" si="10"/>
        <v>12722</v>
      </c>
    </row>
    <row r="56" s="8" customFormat="1" ht="12.75">
      <c r="A56" s="3"/>
    </row>
    <row r="57" spans="1:17" s="8" customFormat="1" ht="1.5" customHeight="1">
      <c r="A57" s="3"/>
      <c r="B57" s="28"/>
      <c r="C57" s="31"/>
      <c r="D57" s="31"/>
      <c r="E57" s="46"/>
      <c r="F57" s="33"/>
      <c r="G57" s="33"/>
      <c r="H57" s="33"/>
      <c r="I57" s="33"/>
      <c r="J57" s="33"/>
      <c r="K57" s="45">
        <f>L57+O57</f>
        <v>0</v>
      </c>
      <c r="L57" s="33"/>
      <c r="M57" s="33"/>
      <c r="N57" s="33"/>
      <c r="O57" s="33"/>
      <c r="P57" s="33"/>
      <c r="Q57" s="34"/>
    </row>
    <row r="58" spans="1:17" s="8" customFormat="1" ht="25.5">
      <c r="A58" s="3"/>
      <c r="B58" s="29" t="s">
        <v>359</v>
      </c>
      <c r="C58" s="42"/>
      <c r="D58" s="42"/>
      <c r="E58" s="47" t="s">
        <v>360</v>
      </c>
      <c r="F58" s="34">
        <f>F59</f>
        <v>3754463.14</v>
      </c>
      <c r="G58" s="34">
        <f aca="true" t="shared" si="13" ref="G58:Q58">G59</f>
        <v>3754463.14</v>
      </c>
      <c r="H58" s="34">
        <f t="shared" si="13"/>
        <v>2825902.38</v>
      </c>
      <c r="I58" s="34">
        <f t="shared" si="13"/>
        <v>103112</v>
      </c>
      <c r="J58" s="34">
        <f t="shared" si="13"/>
        <v>0</v>
      </c>
      <c r="K58" s="34">
        <f t="shared" si="13"/>
        <v>0</v>
      </c>
      <c r="L58" s="34">
        <f t="shared" si="13"/>
        <v>0</v>
      </c>
      <c r="M58" s="34">
        <f t="shared" si="13"/>
        <v>0</v>
      </c>
      <c r="N58" s="34">
        <f t="shared" si="13"/>
        <v>0</v>
      </c>
      <c r="O58" s="34">
        <f t="shared" si="13"/>
        <v>0</v>
      </c>
      <c r="P58" s="34">
        <f t="shared" si="13"/>
        <v>0</v>
      </c>
      <c r="Q58" s="34">
        <f t="shared" si="13"/>
        <v>3754463.14</v>
      </c>
    </row>
    <row r="59" spans="1:17" s="8" customFormat="1" ht="25.5">
      <c r="A59" s="3"/>
      <c r="B59" s="29" t="s">
        <v>361</v>
      </c>
      <c r="C59" s="42"/>
      <c r="D59" s="42"/>
      <c r="E59" s="47" t="s">
        <v>360</v>
      </c>
      <c r="F59" s="34">
        <f>F60+F62+F63+F64+F65+F66</f>
        <v>3754463.14</v>
      </c>
      <c r="G59" s="34">
        <f aca="true" t="shared" si="14" ref="G59:Q59">G60+G62+G63+G64+G65+G66</f>
        <v>3754463.14</v>
      </c>
      <c r="H59" s="34">
        <f t="shared" si="14"/>
        <v>2825902.38</v>
      </c>
      <c r="I59" s="34">
        <f t="shared" si="14"/>
        <v>103112</v>
      </c>
      <c r="J59" s="34">
        <f t="shared" si="14"/>
        <v>0</v>
      </c>
      <c r="K59" s="34">
        <f t="shared" si="14"/>
        <v>0</v>
      </c>
      <c r="L59" s="34">
        <f t="shared" si="14"/>
        <v>0</v>
      </c>
      <c r="M59" s="34">
        <f t="shared" si="14"/>
        <v>0</v>
      </c>
      <c r="N59" s="34">
        <f t="shared" si="14"/>
        <v>0</v>
      </c>
      <c r="O59" s="34">
        <f t="shared" si="14"/>
        <v>0</v>
      </c>
      <c r="P59" s="34">
        <f t="shared" si="14"/>
        <v>0</v>
      </c>
      <c r="Q59" s="34">
        <f t="shared" si="14"/>
        <v>3754463.14</v>
      </c>
    </row>
    <row r="60" spans="1:17" s="8" customFormat="1" ht="36.75" customHeight="1">
      <c r="A60" s="3"/>
      <c r="B60" s="28" t="s">
        <v>362</v>
      </c>
      <c r="C60" s="31" t="s">
        <v>67</v>
      </c>
      <c r="D60" s="31" t="s">
        <v>33</v>
      </c>
      <c r="E60" s="44" t="s">
        <v>374</v>
      </c>
      <c r="F60" s="33">
        <f>G60</f>
        <v>151717</v>
      </c>
      <c r="G60" s="33">
        <v>151717</v>
      </c>
      <c r="H60" s="33">
        <v>120000</v>
      </c>
      <c r="I60" s="33">
        <v>20000</v>
      </c>
      <c r="J60" s="33">
        <v>0</v>
      </c>
      <c r="K60" s="45">
        <f>L60+O60</f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4">
        <f>F60+K60</f>
        <v>151717</v>
      </c>
    </row>
    <row r="61" spans="1:17" s="8" customFormat="1" ht="12.75">
      <c r="A61" s="3"/>
      <c r="B61" s="29"/>
      <c r="C61" s="42"/>
      <c r="D61" s="42"/>
      <c r="E61" s="47"/>
      <c r="F61" s="33"/>
      <c r="G61" s="33"/>
      <c r="H61" s="33"/>
      <c r="I61" s="33"/>
      <c r="J61" s="33"/>
      <c r="K61" s="45"/>
      <c r="L61" s="33"/>
      <c r="M61" s="33"/>
      <c r="N61" s="33"/>
      <c r="O61" s="33"/>
      <c r="P61" s="33"/>
      <c r="Q61" s="34"/>
    </row>
    <row r="62" spans="1:17" s="8" customFormat="1" ht="12.75">
      <c r="A62" s="3"/>
      <c r="B62" s="28" t="s">
        <v>363</v>
      </c>
      <c r="C62" s="31" t="s">
        <v>83</v>
      </c>
      <c r="D62" s="31" t="s">
        <v>85</v>
      </c>
      <c r="E62" s="44" t="s">
        <v>86</v>
      </c>
      <c r="F62" s="33">
        <f>G62</f>
        <v>513647.06</v>
      </c>
      <c r="G62" s="33">
        <f>138047.06+375600</f>
        <v>513647.06</v>
      </c>
      <c r="H62" s="33">
        <f>113873.4+308000</f>
        <v>421873.4</v>
      </c>
      <c r="I62" s="33">
        <v>0</v>
      </c>
      <c r="J62" s="33">
        <v>0</v>
      </c>
      <c r="K62" s="45">
        <f>L62+O62</f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4">
        <f>F62+K62</f>
        <v>513647.06</v>
      </c>
    </row>
    <row r="63" spans="1:17" s="8" customFormat="1" ht="12.75">
      <c r="A63" s="3"/>
      <c r="B63" s="28" t="s">
        <v>364</v>
      </c>
      <c r="C63" s="31" t="s">
        <v>231</v>
      </c>
      <c r="D63" s="31" t="s">
        <v>85</v>
      </c>
      <c r="E63" s="278" t="s">
        <v>233</v>
      </c>
      <c r="F63" s="33">
        <f>G63</f>
        <v>21030</v>
      </c>
      <c r="G63" s="33">
        <v>21030</v>
      </c>
      <c r="H63" s="33">
        <v>17000</v>
      </c>
      <c r="I63" s="33">
        <v>0</v>
      </c>
      <c r="J63" s="33">
        <v>0</v>
      </c>
      <c r="K63" s="45">
        <f>L63+O63</f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4">
        <f>F63+K63</f>
        <v>21030</v>
      </c>
    </row>
    <row r="64" spans="1:17" s="8" customFormat="1" ht="25.5">
      <c r="A64" s="3"/>
      <c r="B64" s="31" t="s">
        <v>365</v>
      </c>
      <c r="C64" s="31" t="s">
        <v>46</v>
      </c>
      <c r="D64" s="31" t="s">
        <v>79</v>
      </c>
      <c r="E64" s="276" t="s">
        <v>80</v>
      </c>
      <c r="F64" s="33">
        <f>G64</f>
        <v>854714.0800000001</v>
      </c>
      <c r="G64" s="16">
        <f>492214.08+362500</f>
        <v>854714.0800000001</v>
      </c>
      <c r="H64" s="16">
        <f>376028.98+297500</f>
        <v>673528.98</v>
      </c>
      <c r="I64" s="16">
        <v>33112</v>
      </c>
      <c r="J64" s="16">
        <v>0</v>
      </c>
      <c r="K64" s="45">
        <f>L64+O64</f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34">
        <f>F64+K64</f>
        <v>854714.0800000001</v>
      </c>
    </row>
    <row r="65" spans="1:17" s="8" customFormat="1" ht="12.75">
      <c r="A65" s="3"/>
      <c r="B65" s="31" t="s">
        <v>366</v>
      </c>
      <c r="C65" s="31" t="s">
        <v>229</v>
      </c>
      <c r="D65" s="31" t="s">
        <v>230</v>
      </c>
      <c r="E65" s="276" t="s">
        <v>228</v>
      </c>
      <c r="F65" s="33">
        <f>G65</f>
        <v>1891450</v>
      </c>
      <c r="G65" s="16">
        <v>1891450</v>
      </c>
      <c r="H65" s="16">
        <v>1430000</v>
      </c>
      <c r="I65" s="16">
        <v>50000</v>
      </c>
      <c r="J65" s="16">
        <v>0</v>
      </c>
      <c r="K65" s="45">
        <f>L65+O65</f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34">
        <f>F65+K65</f>
        <v>1891450</v>
      </c>
    </row>
    <row r="66" spans="1:17" s="8" customFormat="1" ht="17.25" customHeight="1">
      <c r="A66" s="3"/>
      <c r="B66" s="31" t="s">
        <v>367</v>
      </c>
      <c r="C66" s="31" t="s">
        <v>48</v>
      </c>
      <c r="D66" s="31" t="s">
        <v>87</v>
      </c>
      <c r="E66" s="49" t="s">
        <v>4</v>
      </c>
      <c r="F66" s="33">
        <f>G66</f>
        <v>321905</v>
      </c>
      <c r="G66" s="33">
        <f>122405+199500</f>
        <v>321905</v>
      </c>
      <c r="H66" s="33">
        <v>163500</v>
      </c>
      <c r="I66" s="33">
        <v>0</v>
      </c>
      <c r="J66" s="33">
        <v>0</v>
      </c>
      <c r="K66" s="45">
        <f>L66+O66</f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4">
        <f>F66+K66</f>
        <v>321905</v>
      </c>
    </row>
    <row r="67" s="8" customFormat="1" ht="12.75">
      <c r="A67" s="3"/>
    </row>
    <row r="68" spans="1:17" s="37" customFormat="1" ht="24.75" customHeight="1">
      <c r="A68" s="35"/>
      <c r="B68" s="38" t="s">
        <v>104</v>
      </c>
      <c r="C68" s="38"/>
      <c r="D68" s="38"/>
      <c r="E68" s="50" t="s">
        <v>107</v>
      </c>
      <c r="F68" s="34"/>
      <c r="G68" s="34"/>
      <c r="H68" s="34"/>
      <c r="I68" s="34"/>
      <c r="J68" s="34"/>
      <c r="K68" s="51"/>
      <c r="L68" s="34"/>
      <c r="M68" s="34"/>
      <c r="N68" s="34"/>
      <c r="O68" s="34"/>
      <c r="P68" s="34"/>
      <c r="Q68" s="34">
        <f>F68+K68</f>
        <v>0</v>
      </c>
    </row>
    <row r="69" spans="1:17" s="37" customFormat="1" ht="27" customHeight="1">
      <c r="A69" s="35"/>
      <c r="B69" s="38" t="s">
        <v>105</v>
      </c>
      <c r="C69" s="38"/>
      <c r="D69" s="38"/>
      <c r="E69" s="50" t="s">
        <v>107</v>
      </c>
      <c r="F69" s="34">
        <f>F70+F71+F73+F74+F75+F72+F76</f>
        <v>82130423</v>
      </c>
      <c r="G69" s="34">
        <f aca="true" t="shared" si="15" ref="G69:Q69">G70+G71+G73+G74+G75+G72+G76</f>
        <v>82097423</v>
      </c>
      <c r="H69" s="34">
        <f t="shared" si="15"/>
        <v>215156</v>
      </c>
      <c r="I69" s="34">
        <f t="shared" si="15"/>
        <v>10900</v>
      </c>
      <c r="J69" s="34">
        <f t="shared" si="15"/>
        <v>0</v>
      </c>
      <c r="K69" s="34">
        <f t="shared" si="15"/>
        <v>0</v>
      </c>
      <c r="L69" s="34">
        <f t="shared" si="15"/>
        <v>0</v>
      </c>
      <c r="M69" s="34">
        <f t="shared" si="15"/>
        <v>0</v>
      </c>
      <c r="N69" s="34">
        <f t="shared" si="15"/>
        <v>0</v>
      </c>
      <c r="O69" s="34">
        <f t="shared" si="15"/>
        <v>0</v>
      </c>
      <c r="P69" s="34">
        <f t="shared" si="15"/>
        <v>0</v>
      </c>
      <c r="Q69" s="34">
        <f t="shared" si="15"/>
        <v>82130423</v>
      </c>
    </row>
    <row r="70" spans="1:17" s="8" customFormat="1" ht="70.5" customHeight="1">
      <c r="A70" s="3"/>
      <c r="B70" s="24" t="s">
        <v>106</v>
      </c>
      <c r="C70" s="24" t="s">
        <v>32</v>
      </c>
      <c r="D70" s="24" t="s">
        <v>33</v>
      </c>
      <c r="E70" s="49" t="s">
        <v>75</v>
      </c>
      <c r="F70" s="33">
        <f>G70+J70</f>
        <v>230056</v>
      </c>
      <c r="G70" s="33">
        <f>140000+90056</f>
        <v>230056</v>
      </c>
      <c r="H70" s="33">
        <f>125100+90056</f>
        <v>215156</v>
      </c>
      <c r="I70" s="33">
        <v>10900</v>
      </c>
      <c r="J70" s="33">
        <v>0</v>
      </c>
      <c r="K70" s="45">
        <f aca="true" t="shared" si="16" ref="K70:K75">L70</f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4">
        <f>F70+K70</f>
        <v>230056</v>
      </c>
    </row>
    <row r="71" spans="1:17" s="8" customFormat="1" ht="57" customHeight="1">
      <c r="A71" s="3"/>
      <c r="B71" s="31" t="s">
        <v>108</v>
      </c>
      <c r="C71" s="31" t="s">
        <v>71</v>
      </c>
      <c r="D71" s="31" t="s">
        <v>67</v>
      </c>
      <c r="E71" s="32" t="s">
        <v>70</v>
      </c>
      <c r="F71" s="33">
        <f>G71+H71+I71+J71</f>
        <v>8341500</v>
      </c>
      <c r="G71" s="33">
        <v>8341500</v>
      </c>
      <c r="H71" s="33">
        <v>0</v>
      </c>
      <c r="I71" s="33">
        <v>0</v>
      </c>
      <c r="J71" s="33">
        <v>0</v>
      </c>
      <c r="K71" s="45">
        <f t="shared" si="16"/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4">
        <f aca="true" t="shared" si="17" ref="Q71:Q76">F71+K71</f>
        <v>8341500</v>
      </c>
    </row>
    <row r="72" spans="1:17" s="8" customFormat="1" ht="42.75" customHeight="1">
      <c r="A72" s="3"/>
      <c r="B72" s="31" t="s">
        <v>114</v>
      </c>
      <c r="C72" s="31" t="s">
        <v>112</v>
      </c>
      <c r="D72" s="31" t="s">
        <v>67</v>
      </c>
      <c r="E72" s="40" t="s">
        <v>113</v>
      </c>
      <c r="F72" s="33">
        <f>G72</f>
        <v>42000</v>
      </c>
      <c r="G72" s="33">
        <f>12000+30000</f>
        <v>42000</v>
      </c>
      <c r="H72" s="33">
        <v>0</v>
      </c>
      <c r="I72" s="33">
        <v>0</v>
      </c>
      <c r="J72" s="33">
        <v>0</v>
      </c>
      <c r="K72" s="45">
        <f t="shared" si="16"/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4">
        <f t="shared" si="17"/>
        <v>42000</v>
      </c>
    </row>
    <row r="73" spans="1:17" s="8" customFormat="1" ht="27.75" customHeight="1">
      <c r="A73" s="3"/>
      <c r="B73" s="31" t="s">
        <v>109</v>
      </c>
      <c r="C73" s="31" t="s">
        <v>66</v>
      </c>
      <c r="D73" s="31" t="s">
        <v>67</v>
      </c>
      <c r="E73" s="44" t="s">
        <v>21</v>
      </c>
      <c r="F73" s="33">
        <f>G73+J73</f>
        <v>37448100</v>
      </c>
      <c r="G73" s="33">
        <v>37448100</v>
      </c>
      <c r="H73" s="33">
        <v>0</v>
      </c>
      <c r="I73" s="33">
        <v>0</v>
      </c>
      <c r="J73" s="33">
        <v>0</v>
      </c>
      <c r="K73" s="45">
        <f t="shared" si="16"/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4">
        <f t="shared" si="17"/>
        <v>37448100</v>
      </c>
    </row>
    <row r="74" spans="1:17" s="8" customFormat="1" ht="24" customHeight="1">
      <c r="A74" s="3"/>
      <c r="B74" s="31" t="s">
        <v>110</v>
      </c>
      <c r="C74" s="31" t="s">
        <v>68</v>
      </c>
      <c r="D74" s="31" t="s">
        <v>67</v>
      </c>
      <c r="E74" s="44" t="s">
        <v>22</v>
      </c>
      <c r="F74" s="33">
        <f>G74+J74</f>
        <v>22512700</v>
      </c>
      <c r="G74" s="33">
        <v>22512700</v>
      </c>
      <c r="H74" s="33">
        <v>0</v>
      </c>
      <c r="I74" s="33">
        <v>0</v>
      </c>
      <c r="J74" s="33">
        <v>0</v>
      </c>
      <c r="K74" s="45">
        <f t="shared" si="16"/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4">
        <f t="shared" si="17"/>
        <v>22512700</v>
      </c>
    </row>
    <row r="75" spans="1:17" s="8" customFormat="1" ht="21.75" customHeight="1">
      <c r="A75" s="3"/>
      <c r="B75" s="31" t="s">
        <v>111</v>
      </c>
      <c r="C75" s="31" t="s">
        <v>69</v>
      </c>
      <c r="D75" s="31" t="s">
        <v>67</v>
      </c>
      <c r="E75" s="44" t="s">
        <v>73</v>
      </c>
      <c r="F75" s="33">
        <f>G75+J75</f>
        <v>13523067</v>
      </c>
      <c r="G75" s="33">
        <f>9250044+141500+3753523+378000</f>
        <v>13523067</v>
      </c>
      <c r="H75" s="33">
        <v>0</v>
      </c>
      <c r="I75" s="33">
        <v>0</v>
      </c>
      <c r="J75" s="33">
        <v>0</v>
      </c>
      <c r="K75" s="45">
        <f t="shared" si="16"/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4">
        <f t="shared" si="17"/>
        <v>13523067</v>
      </c>
    </row>
    <row r="76" spans="1:17" s="37" customFormat="1" ht="18.75" customHeight="1">
      <c r="A76" s="35"/>
      <c r="B76" s="38" t="s">
        <v>121</v>
      </c>
      <c r="C76" s="38" t="s">
        <v>28</v>
      </c>
      <c r="D76" s="38" t="s">
        <v>29</v>
      </c>
      <c r="E76" s="50" t="s">
        <v>20</v>
      </c>
      <c r="F76" s="34">
        <v>33000</v>
      </c>
      <c r="G76" s="34">
        <v>0</v>
      </c>
      <c r="H76" s="34">
        <v>0</v>
      </c>
      <c r="I76" s="34">
        <v>0</v>
      </c>
      <c r="J76" s="34">
        <v>0</v>
      </c>
      <c r="K76" s="51">
        <f>L76</f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f t="shared" si="17"/>
        <v>33000</v>
      </c>
    </row>
    <row r="77" spans="1:17" s="8" customFormat="1" ht="18.75" customHeight="1">
      <c r="A77" s="3"/>
      <c r="B77" s="31"/>
      <c r="C77" s="31"/>
      <c r="D77" s="31"/>
      <c r="E77" s="50" t="s">
        <v>5</v>
      </c>
      <c r="F77" s="34">
        <f aca="true" t="shared" si="18" ref="F77:Q77">F69+F10+F47+F58+F14+F22</f>
        <v>131466435</v>
      </c>
      <c r="G77" s="34">
        <f t="shared" si="18"/>
        <v>129088275</v>
      </c>
      <c r="H77" s="34">
        <f t="shared" si="18"/>
        <v>21046986.000000004</v>
      </c>
      <c r="I77" s="34">
        <f t="shared" si="18"/>
        <v>3445917.9999999995</v>
      </c>
      <c r="J77" s="34">
        <f t="shared" si="18"/>
        <v>2345160</v>
      </c>
      <c r="K77" s="34">
        <f t="shared" si="18"/>
        <v>7264650</v>
      </c>
      <c r="L77" s="34">
        <f t="shared" si="18"/>
        <v>1347000</v>
      </c>
      <c r="M77" s="34">
        <f t="shared" si="18"/>
        <v>0</v>
      </c>
      <c r="N77" s="34">
        <f t="shared" si="18"/>
        <v>0</v>
      </c>
      <c r="O77" s="34">
        <f t="shared" si="18"/>
        <v>5917650</v>
      </c>
      <c r="P77" s="34">
        <f t="shared" si="18"/>
        <v>5917650</v>
      </c>
      <c r="Q77" s="34">
        <f t="shared" si="18"/>
        <v>138731085.00000003</v>
      </c>
    </row>
    <row r="78" ht="15" hidden="1"/>
    <row r="79" spans="2:17" ht="15" customHeight="1" hidden="1"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</row>
    <row r="80" spans="2:17" ht="16.5" customHeight="1" hidden="1"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</row>
    <row r="81" ht="15" hidden="1"/>
    <row r="82" spans="5:11" ht="44.25" customHeight="1">
      <c r="E82" s="304" t="s">
        <v>3</v>
      </c>
      <c r="F82" s="305"/>
      <c r="G82" s="52"/>
      <c r="H82" s="53"/>
      <c r="I82" s="93" t="s">
        <v>313</v>
      </c>
      <c r="J82" s="53"/>
      <c r="K82" s="39"/>
    </row>
  </sheetData>
  <sheetProtection/>
  <mergeCells count="26">
    <mergeCell ref="D5:D8"/>
    <mergeCell ref="B79:Q79"/>
    <mergeCell ref="B80:Q80"/>
    <mergeCell ref="O6:O8"/>
    <mergeCell ref="H7:H8"/>
    <mergeCell ref="I7:I8"/>
    <mergeCell ref="M7:M8"/>
    <mergeCell ref="N7:N8"/>
    <mergeCell ref="P7:P8"/>
    <mergeCell ref="G6:G8"/>
    <mergeCell ref="K5:P5"/>
    <mergeCell ref="Q5:Q8"/>
    <mergeCell ref="H6:I6"/>
    <mergeCell ref="J6:J8"/>
    <mergeCell ref="K6:K8"/>
    <mergeCell ref="L6:L8"/>
    <mergeCell ref="E82:F82"/>
    <mergeCell ref="F6:F8"/>
    <mergeCell ref="M6:N6"/>
    <mergeCell ref="B1:Q1"/>
    <mergeCell ref="M2:Q2"/>
    <mergeCell ref="B3:Q3"/>
    <mergeCell ref="B5:B8"/>
    <mergeCell ref="C5:C8"/>
    <mergeCell ref="E5:E8"/>
    <mergeCell ref="F5:J5"/>
  </mergeCells>
  <printOptions horizontalCentered="1"/>
  <pageMargins left="0.1968503937007874" right="0.1968503937007874" top="0.3937007874015748" bottom="0.3937007874015748" header="0.5118110236220472" footer="0.31496062992125984"/>
  <pageSetup fitToHeight="0" horizontalDpi="300" verticalDpi="300" orientation="landscape" paperSize="9" scale="60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52"/>
  <sheetViews>
    <sheetView view="pageBreakPreview" zoomScale="60" workbookViewId="0" topLeftCell="D4">
      <selection activeCell="K22" sqref="K22"/>
    </sheetView>
  </sheetViews>
  <sheetFormatPr defaultColWidth="9.16015625" defaultRowHeight="12.75"/>
  <cols>
    <col min="1" max="1" width="0.328125" style="94" hidden="1" customWidth="1"/>
    <col min="2" max="2" width="4.33203125" style="94" hidden="1" customWidth="1"/>
    <col min="3" max="3" width="1.171875" style="94" hidden="1" customWidth="1"/>
    <col min="4" max="4" width="18.16015625" style="94" customWidth="1"/>
    <col min="5" max="5" width="36.5" style="94" customWidth="1"/>
    <col min="6" max="6" width="22.83203125" style="94" hidden="1" customWidth="1"/>
    <col min="7" max="8" width="27" style="94" customWidth="1"/>
    <col min="9" max="9" width="25.5" style="96" customWidth="1"/>
    <col min="10" max="10" width="23.33203125" style="96" customWidth="1"/>
    <col min="11" max="11" width="24" style="96" customWidth="1"/>
    <col min="12" max="12" width="25.33203125" style="94" customWidth="1"/>
    <col min="13" max="14" width="22.83203125" style="94" hidden="1" customWidth="1"/>
    <col min="15" max="15" width="23.33203125" style="94" customWidth="1"/>
    <col min="16" max="16" width="18.66015625" style="94" customWidth="1"/>
    <col min="17" max="17" width="18.33203125" style="94" customWidth="1"/>
    <col min="18" max="18" width="21.33203125" style="94" customWidth="1"/>
    <col min="19" max="19" width="24.5" style="94" customWidth="1"/>
    <col min="20" max="20" width="21.33203125" style="94" customWidth="1"/>
    <col min="21" max="21" width="19.16015625" style="94" customWidth="1"/>
    <col min="22" max="22" width="19.33203125" style="94" customWidth="1"/>
    <col min="23" max="23" width="21.66015625" style="94" customWidth="1"/>
    <col min="24" max="24" width="19.33203125" style="94" customWidth="1"/>
    <col min="25" max="25" width="26.16015625" style="94" customWidth="1"/>
    <col min="26" max="26" width="37.33203125" style="94" customWidth="1"/>
    <col min="27" max="27" width="17.16015625" style="94" customWidth="1"/>
    <col min="28" max="28" width="20.16015625" style="94" customWidth="1"/>
    <col min="29" max="16384" width="9.16015625" style="94" customWidth="1"/>
  </cols>
  <sheetData>
    <row r="1" spans="4:5" ht="22.5" customHeight="1" hidden="1">
      <c r="D1" s="95"/>
      <c r="E1" s="95"/>
    </row>
    <row r="2" ht="12.75" hidden="1"/>
    <row r="3" ht="21.75" customHeight="1" hidden="1"/>
    <row r="4" spans="5:14" ht="63" customHeight="1">
      <c r="E4" s="97"/>
      <c r="F4" s="97"/>
      <c r="G4" s="97"/>
      <c r="H4" s="97"/>
      <c r="I4" s="284" t="s">
        <v>377</v>
      </c>
      <c r="J4" s="284"/>
      <c r="K4" s="284"/>
      <c r="L4" s="284"/>
      <c r="M4" s="284"/>
      <c r="N4" s="284"/>
    </row>
    <row r="5" spans="1:14" ht="67.5" customHeight="1">
      <c r="A5" s="98"/>
      <c r="B5" s="98"/>
      <c r="C5" s="98"/>
      <c r="D5" s="318" t="s">
        <v>234</v>
      </c>
      <c r="E5" s="318"/>
      <c r="F5" s="318"/>
      <c r="G5" s="318"/>
      <c r="H5" s="318"/>
      <c r="I5" s="318"/>
      <c r="J5" s="318"/>
      <c r="K5" s="318"/>
      <c r="L5" s="318"/>
      <c r="M5" s="318"/>
      <c r="N5" s="318"/>
    </row>
    <row r="6" spans="1:14" ht="18" customHeight="1">
      <c r="A6" s="98"/>
      <c r="B6" s="98"/>
      <c r="C6" s="98"/>
      <c r="D6" s="98"/>
      <c r="I6" s="99"/>
      <c r="K6" s="100"/>
      <c r="L6" s="101" t="s">
        <v>72</v>
      </c>
      <c r="M6" s="102"/>
      <c r="N6" s="103" t="s">
        <v>72</v>
      </c>
    </row>
    <row r="7" spans="1:14" s="108" customFormat="1" ht="48" customHeight="1">
      <c r="A7" s="104" t="s">
        <v>235</v>
      </c>
      <c r="B7" s="105" t="s">
        <v>236</v>
      </c>
      <c r="C7" s="106">
        <v>0</v>
      </c>
      <c r="D7" s="319" t="s">
        <v>237</v>
      </c>
      <c r="E7" s="319" t="s">
        <v>238</v>
      </c>
      <c r="F7" s="322" t="s">
        <v>239</v>
      </c>
      <c r="G7" s="323"/>
      <c r="H7" s="313" t="s">
        <v>240</v>
      </c>
      <c r="I7" s="314"/>
      <c r="J7" s="314"/>
      <c r="K7" s="315"/>
      <c r="L7" s="326" t="s">
        <v>0</v>
      </c>
      <c r="M7" s="107"/>
      <c r="N7" s="107"/>
    </row>
    <row r="8" spans="1:14" s="108" customFormat="1" ht="30.75" customHeight="1">
      <c r="A8" s="104" t="s">
        <v>241</v>
      </c>
      <c r="B8" s="105" t="s">
        <v>236</v>
      </c>
      <c r="C8" s="106">
        <v>0</v>
      </c>
      <c r="D8" s="320"/>
      <c r="E8" s="320"/>
      <c r="F8" s="324"/>
      <c r="G8" s="325"/>
      <c r="H8" s="324" t="s">
        <v>242</v>
      </c>
      <c r="I8" s="329"/>
      <c r="J8" s="329"/>
      <c r="K8" s="330"/>
      <c r="L8" s="327"/>
      <c r="M8" s="109"/>
      <c r="N8" s="109"/>
    </row>
    <row r="9" spans="1:14" s="108" customFormat="1" ht="157.5" customHeight="1">
      <c r="A9" s="104" t="s">
        <v>243</v>
      </c>
      <c r="B9" s="105" t="s">
        <v>236</v>
      </c>
      <c r="C9" s="106">
        <v>0</v>
      </c>
      <c r="D9" s="321"/>
      <c r="E9" s="321"/>
      <c r="F9" s="110"/>
      <c r="G9" s="110" t="s">
        <v>244</v>
      </c>
      <c r="H9" s="110" t="s">
        <v>113</v>
      </c>
      <c r="I9" s="110" t="s">
        <v>245</v>
      </c>
      <c r="J9" s="110" t="s">
        <v>246</v>
      </c>
      <c r="K9" s="111" t="s">
        <v>247</v>
      </c>
      <c r="L9" s="328"/>
      <c r="M9" s="112" t="s">
        <v>248</v>
      </c>
      <c r="N9" s="112" t="s">
        <v>249</v>
      </c>
    </row>
    <row r="10" spans="1:14" ht="43.5" customHeight="1">
      <c r="A10" s="113" t="s">
        <v>250</v>
      </c>
      <c r="B10" s="114" t="s">
        <v>236</v>
      </c>
      <c r="C10" s="115">
        <v>0</v>
      </c>
      <c r="D10" s="116" t="s">
        <v>251</v>
      </c>
      <c r="E10" s="112" t="s">
        <v>252</v>
      </c>
      <c r="F10" s="117"/>
      <c r="G10" s="117">
        <v>8341500</v>
      </c>
      <c r="H10" s="117">
        <v>0</v>
      </c>
      <c r="I10" s="118">
        <v>22512700</v>
      </c>
      <c r="J10" s="118">
        <v>37448100</v>
      </c>
      <c r="K10" s="118">
        <f>9250044+3723523+171500+378000</f>
        <v>13523067</v>
      </c>
      <c r="L10" s="118">
        <f>K10+J10+I10+G10</f>
        <v>81825367</v>
      </c>
      <c r="M10" s="119"/>
      <c r="N10" s="120"/>
    </row>
    <row r="11" spans="1:14" ht="23.25" customHeight="1" hidden="1">
      <c r="A11" s="121" t="s">
        <v>253</v>
      </c>
      <c r="B11" s="114" t="s">
        <v>236</v>
      </c>
      <c r="C11" s="115">
        <v>0</v>
      </c>
      <c r="D11" s="112" t="s">
        <v>249</v>
      </c>
      <c r="E11" s="112" t="s">
        <v>249</v>
      </c>
      <c r="F11" s="117"/>
      <c r="G11" s="117"/>
      <c r="H11" s="117"/>
      <c r="I11" s="118"/>
      <c r="J11" s="118"/>
      <c r="K11" s="118"/>
      <c r="L11" s="118"/>
      <c r="M11" s="119"/>
      <c r="N11" s="120"/>
    </row>
    <row r="12" spans="1:14" ht="23.25" customHeight="1" hidden="1">
      <c r="A12" s="122" t="s">
        <v>254</v>
      </c>
      <c r="B12" s="114" t="s">
        <v>236</v>
      </c>
      <c r="C12" s="115">
        <v>0</v>
      </c>
      <c r="D12" s="112" t="s">
        <v>249</v>
      </c>
      <c r="E12" s="112" t="s">
        <v>249</v>
      </c>
      <c r="F12" s="117"/>
      <c r="G12" s="117"/>
      <c r="H12" s="117"/>
      <c r="I12" s="118"/>
      <c r="J12" s="118"/>
      <c r="K12" s="118"/>
      <c r="L12" s="118"/>
      <c r="M12" s="119"/>
      <c r="N12" s="120"/>
    </row>
    <row r="13" spans="1:14" ht="23.25" customHeight="1" hidden="1">
      <c r="A13" s="122" t="s">
        <v>255</v>
      </c>
      <c r="B13" s="114" t="s">
        <v>236</v>
      </c>
      <c r="C13" s="115">
        <v>0</v>
      </c>
      <c r="D13" s="112" t="s">
        <v>249</v>
      </c>
      <c r="E13" s="112" t="s">
        <v>249</v>
      </c>
      <c r="F13" s="117"/>
      <c r="G13" s="117"/>
      <c r="H13" s="117"/>
      <c r="I13" s="118"/>
      <c r="J13" s="118"/>
      <c r="K13" s="118"/>
      <c r="L13" s="118"/>
      <c r="M13" s="119"/>
      <c r="N13" s="120"/>
    </row>
    <row r="14" spans="1:14" ht="23.25" customHeight="1" hidden="1">
      <c r="A14" s="123" t="s">
        <v>256</v>
      </c>
      <c r="B14" s="124" t="s">
        <v>236</v>
      </c>
      <c r="C14" s="115">
        <v>0</v>
      </c>
      <c r="D14" s="112" t="s">
        <v>249</v>
      </c>
      <c r="E14" s="112" t="s">
        <v>249</v>
      </c>
      <c r="F14" s="117"/>
      <c r="G14" s="117"/>
      <c r="H14" s="117"/>
      <c r="I14" s="118"/>
      <c r="J14" s="118"/>
      <c r="K14" s="118"/>
      <c r="L14" s="118"/>
      <c r="M14" s="119"/>
      <c r="N14" s="120"/>
    </row>
    <row r="15" spans="1:14" ht="23.25" customHeight="1" hidden="1">
      <c r="A15" s="123">
        <v>10</v>
      </c>
      <c r="B15" s="124" t="s">
        <v>236</v>
      </c>
      <c r="C15" s="115">
        <v>0</v>
      </c>
      <c r="D15" s="112" t="s">
        <v>249</v>
      </c>
      <c r="E15" s="112" t="s">
        <v>249</v>
      </c>
      <c r="F15" s="117"/>
      <c r="G15" s="117"/>
      <c r="H15" s="117"/>
      <c r="I15" s="118"/>
      <c r="J15" s="118"/>
      <c r="K15" s="118"/>
      <c r="L15" s="118"/>
      <c r="M15" s="119"/>
      <c r="N15" s="120"/>
    </row>
    <row r="16" spans="1:14" ht="23.25" customHeight="1" hidden="1">
      <c r="A16" s="123">
        <v>11</v>
      </c>
      <c r="B16" s="124" t="s">
        <v>236</v>
      </c>
      <c r="C16" s="115">
        <v>0</v>
      </c>
      <c r="D16" s="112" t="s">
        <v>249</v>
      </c>
      <c r="E16" s="112" t="s">
        <v>249</v>
      </c>
      <c r="F16" s="117"/>
      <c r="G16" s="117"/>
      <c r="H16" s="117"/>
      <c r="I16" s="118"/>
      <c r="J16" s="118"/>
      <c r="K16" s="118"/>
      <c r="L16" s="118"/>
      <c r="M16" s="119"/>
      <c r="N16" s="120"/>
    </row>
    <row r="17" spans="1:14" ht="23.25" customHeight="1" hidden="1">
      <c r="A17" s="123">
        <v>12</v>
      </c>
      <c r="B17" s="124" t="s">
        <v>236</v>
      </c>
      <c r="C17" s="115">
        <v>0</v>
      </c>
      <c r="D17" s="112" t="s">
        <v>249</v>
      </c>
      <c r="E17" s="112" t="s">
        <v>249</v>
      </c>
      <c r="F17" s="117"/>
      <c r="G17" s="117"/>
      <c r="H17" s="117"/>
      <c r="I17" s="118"/>
      <c r="J17" s="118"/>
      <c r="K17" s="118"/>
      <c r="L17" s="118"/>
      <c r="M17" s="119"/>
      <c r="N17" s="120"/>
    </row>
    <row r="18" spans="1:14" ht="23.25" customHeight="1">
      <c r="A18" s="123"/>
      <c r="B18" s="124"/>
      <c r="C18" s="115"/>
      <c r="D18" s="112">
        <v>9900000000</v>
      </c>
      <c r="E18" s="112" t="s">
        <v>257</v>
      </c>
      <c r="F18" s="117"/>
      <c r="G18" s="117">
        <v>0</v>
      </c>
      <c r="H18" s="117">
        <v>42000</v>
      </c>
      <c r="I18" s="118">
        <v>0</v>
      </c>
      <c r="J18" s="118">
        <v>0</v>
      </c>
      <c r="K18" s="118">
        <v>0</v>
      </c>
      <c r="L18" s="118">
        <f>H18</f>
        <v>42000</v>
      </c>
      <c r="M18" s="119"/>
      <c r="N18" s="120"/>
    </row>
    <row r="19" spans="1:14" ht="39.75" customHeight="1">
      <c r="A19" s="121">
        <v>13</v>
      </c>
      <c r="B19" s="124" t="s">
        <v>236</v>
      </c>
      <c r="C19" s="115">
        <v>0</v>
      </c>
      <c r="D19" s="125"/>
      <c r="E19" s="126" t="s">
        <v>0</v>
      </c>
      <c r="F19" s="117">
        <f>F10</f>
        <v>0</v>
      </c>
      <c r="G19" s="117">
        <f>G10</f>
        <v>8341500</v>
      </c>
      <c r="H19" s="117">
        <f>H18</f>
        <v>42000</v>
      </c>
      <c r="I19" s="118">
        <f>I10</f>
        <v>22512700</v>
      </c>
      <c r="J19" s="118">
        <f>J10</f>
        <v>37448100</v>
      </c>
      <c r="K19" s="118">
        <f>K10+K18</f>
        <v>13523067</v>
      </c>
      <c r="L19" s="118">
        <f>L10+L18</f>
        <v>81867367</v>
      </c>
      <c r="M19" s="119"/>
      <c r="N19" s="120"/>
    </row>
    <row r="20" spans="1:28" s="129" customFormat="1" ht="31.5" customHeight="1">
      <c r="A20" s="127"/>
      <c r="B20" s="128"/>
      <c r="C20" s="128"/>
      <c r="D20" s="94"/>
      <c r="E20" s="94"/>
      <c r="F20" s="94"/>
      <c r="G20" s="94"/>
      <c r="H20" s="94"/>
      <c r="I20" s="96"/>
      <c r="J20" s="96"/>
      <c r="K20" s="96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</row>
    <row r="21" spans="1:11" ht="15.75" thickBot="1">
      <c r="A21" s="130"/>
      <c r="B21" s="131"/>
      <c r="C21" s="131"/>
      <c r="D21" s="316" t="s">
        <v>3</v>
      </c>
      <c r="E21" s="317"/>
      <c r="F21" s="132"/>
      <c r="G21" s="133"/>
      <c r="H21" s="133"/>
      <c r="I21" s="134"/>
      <c r="J21" s="133"/>
      <c r="K21" s="135" t="s">
        <v>313</v>
      </c>
    </row>
    <row r="22" spans="1:28" s="138" customFormat="1" ht="12.75">
      <c r="A22" s="136"/>
      <c r="B22" s="137"/>
      <c r="C22" s="137"/>
      <c r="D22" s="94"/>
      <c r="E22" s="94"/>
      <c r="F22" s="94"/>
      <c r="G22" s="94"/>
      <c r="H22" s="94"/>
      <c r="I22" s="96"/>
      <c r="J22" s="96"/>
      <c r="K22" s="96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</row>
    <row r="23" spans="1:28" s="138" customFormat="1" ht="12.75">
      <c r="A23" s="136"/>
      <c r="B23" s="137"/>
      <c r="C23" s="137"/>
      <c r="D23" s="94"/>
      <c r="E23" s="94"/>
      <c r="F23" s="94"/>
      <c r="G23" s="94"/>
      <c r="H23" s="94"/>
      <c r="I23" s="96"/>
      <c r="J23" s="96"/>
      <c r="K23" s="96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</row>
    <row r="24" spans="1:28" s="138" customFormat="1" ht="12.75">
      <c r="A24" s="136"/>
      <c r="B24" s="137"/>
      <c r="C24" s="137"/>
      <c r="D24" s="94"/>
      <c r="E24" s="94"/>
      <c r="F24" s="94"/>
      <c r="G24" s="94"/>
      <c r="H24" s="94"/>
      <c r="I24" s="96"/>
      <c r="J24" s="96"/>
      <c r="K24" s="96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</row>
    <row r="25" spans="1:28" s="138" customFormat="1" ht="12.75">
      <c r="A25" s="136"/>
      <c r="B25" s="137"/>
      <c r="C25" s="137"/>
      <c r="D25" s="94"/>
      <c r="E25" s="94"/>
      <c r="F25" s="94"/>
      <c r="G25" s="94"/>
      <c r="H25" s="94"/>
      <c r="I25" s="96"/>
      <c r="J25" s="96"/>
      <c r="K25" s="96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</row>
    <row r="26" spans="1:3" ht="12.75">
      <c r="A26" s="130"/>
      <c r="B26" s="131"/>
      <c r="C26" s="131"/>
    </row>
    <row r="27" spans="1:3" ht="12.75">
      <c r="A27" s="130"/>
      <c r="B27" s="131"/>
      <c r="C27" s="131"/>
    </row>
    <row r="28" spans="1:3" ht="12.75">
      <c r="A28" s="130"/>
      <c r="B28" s="131"/>
      <c r="C28" s="131"/>
    </row>
    <row r="29" spans="1:3" ht="12.75">
      <c r="A29" s="130"/>
      <c r="B29" s="131"/>
      <c r="C29" s="131"/>
    </row>
    <row r="30" spans="1:3" ht="12.75">
      <c r="A30" s="130"/>
      <c r="B30" s="131"/>
      <c r="C30" s="131"/>
    </row>
    <row r="31" spans="1:3" ht="12.75">
      <c r="A31" s="130"/>
      <c r="B31" s="131"/>
      <c r="C31" s="131"/>
    </row>
    <row r="32" spans="1:3" ht="12.75">
      <c r="A32" s="130"/>
      <c r="B32" s="131"/>
      <c r="C32" s="131"/>
    </row>
    <row r="33" spans="1:3" ht="12.75">
      <c r="A33" s="130"/>
      <c r="B33" s="131"/>
      <c r="C33" s="131"/>
    </row>
    <row r="34" spans="1:3" ht="12.75">
      <c r="A34" s="130"/>
      <c r="B34" s="131"/>
      <c r="C34" s="131"/>
    </row>
    <row r="35" spans="1:3" ht="12.75">
      <c r="A35" s="130"/>
      <c r="B35" s="131"/>
      <c r="C35" s="131"/>
    </row>
    <row r="36" spans="1:3" ht="12.75">
      <c r="A36" s="130"/>
      <c r="B36" s="131"/>
      <c r="C36" s="131"/>
    </row>
    <row r="37" spans="1:3" ht="12.75">
      <c r="A37" s="130"/>
      <c r="B37" s="131"/>
      <c r="C37" s="131"/>
    </row>
    <row r="38" spans="1:3" ht="12.75">
      <c r="A38" s="130"/>
      <c r="B38" s="131"/>
      <c r="C38" s="131"/>
    </row>
    <row r="39" spans="1:3" ht="12.75">
      <c r="A39" s="130"/>
      <c r="B39" s="131"/>
      <c r="C39" s="131"/>
    </row>
    <row r="40" spans="1:3" ht="12.75">
      <c r="A40" s="130"/>
      <c r="B40" s="131"/>
      <c r="C40" s="131"/>
    </row>
    <row r="41" spans="1:3" ht="12.75">
      <c r="A41" s="130"/>
      <c r="B41" s="131"/>
      <c r="C41" s="131"/>
    </row>
    <row r="42" spans="1:3" ht="12.75">
      <c r="A42" s="130"/>
      <c r="B42" s="131"/>
      <c r="C42" s="131"/>
    </row>
    <row r="43" spans="1:3" ht="12.75">
      <c r="A43" s="130"/>
      <c r="B43" s="131"/>
      <c r="C43" s="131"/>
    </row>
    <row r="44" spans="1:3" ht="12.75">
      <c r="A44" s="130"/>
      <c r="B44" s="131"/>
      <c r="C44" s="131"/>
    </row>
    <row r="45" spans="1:3" ht="12.75">
      <c r="A45" s="130"/>
      <c r="B45" s="131"/>
      <c r="C45" s="131"/>
    </row>
    <row r="46" spans="1:3" ht="12.75">
      <c r="A46" s="130"/>
      <c r="B46" s="131"/>
      <c r="C46" s="131"/>
    </row>
    <row r="47" spans="1:3" ht="12.75">
      <c r="A47" s="130"/>
      <c r="B47" s="131"/>
      <c r="C47" s="131"/>
    </row>
    <row r="48" spans="1:3" ht="12.75">
      <c r="A48" s="130"/>
      <c r="B48" s="131"/>
      <c r="C48" s="131"/>
    </row>
    <row r="49" ht="44.25" customHeight="1">
      <c r="A49" s="130"/>
    </row>
    <row r="50" ht="12.75">
      <c r="A50" s="130"/>
    </row>
    <row r="51" ht="12.75">
      <c r="A51" s="130"/>
    </row>
    <row r="52" ht="16.5" thickBot="1">
      <c r="C52" s="139"/>
    </row>
    <row r="62" ht="45.75" customHeight="1"/>
  </sheetData>
  <mergeCells count="9">
    <mergeCell ref="H7:K7"/>
    <mergeCell ref="D21:E21"/>
    <mergeCell ref="I4:N4"/>
    <mergeCell ref="D5:N5"/>
    <mergeCell ref="D7:D9"/>
    <mergeCell ref="E7:E9"/>
    <mergeCell ref="F7:G8"/>
    <mergeCell ref="L7:L9"/>
    <mergeCell ref="H8:K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54"/>
  <sheetViews>
    <sheetView view="pageBreakPreview" zoomScale="85" zoomScaleSheetLayoutView="85" workbookViewId="0" topLeftCell="A1">
      <selection activeCell="E35" sqref="E35"/>
    </sheetView>
  </sheetViews>
  <sheetFormatPr defaultColWidth="9.33203125" defaultRowHeight="12.75"/>
  <cols>
    <col min="1" max="1" width="19.83203125" style="143" customWidth="1"/>
    <col min="2" max="2" width="108.83203125" style="143" customWidth="1"/>
    <col min="3" max="3" width="24.16015625" style="143" customWidth="1"/>
    <col min="4" max="4" width="19.66015625" style="143" customWidth="1"/>
    <col min="5" max="5" width="19.33203125" style="143" customWidth="1"/>
    <col min="6" max="6" width="19.66015625" style="162" hidden="1" customWidth="1"/>
    <col min="7" max="7" width="16" style="162" hidden="1" customWidth="1"/>
    <col min="8" max="8" width="19.16015625" style="143" customWidth="1"/>
    <col min="9" max="9" width="20" style="143" customWidth="1"/>
    <col min="10" max="16384" width="10.66015625" style="143" customWidth="1"/>
  </cols>
  <sheetData>
    <row r="1" spans="1:43" s="145" customFormat="1" ht="76.5" customHeight="1">
      <c r="A1" s="140"/>
      <c r="B1" s="140"/>
      <c r="C1" s="140"/>
      <c r="D1" s="333" t="s">
        <v>378</v>
      </c>
      <c r="E1" s="334"/>
      <c r="F1" s="141"/>
      <c r="G1" s="142"/>
      <c r="H1" s="143"/>
      <c r="I1" s="144">
        <v>1</v>
      </c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</row>
    <row r="2" spans="1:43" s="145" customFormat="1" ht="18" customHeight="1" hidden="1">
      <c r="A2" s="146"/>
      <c r="B2" s="146"/>
      <c r="C2" s="146"/>
      <c r="D2" s="147"/>
      <c r="E2" s="143"/>
      <c r="F2" s="141"/>
      <c r="G2" s="142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</row>
    <row r="3" spans="1:43" s="145" customFormat="1" ht="18" customHeight="1" hidden="1">
      <c r="A3" s="146"/>
      <c r="B3" s="146"/>
      <c r="C3" s="146"/>
      <c r="D3" s="147"/>
      <c r="E3" s="143"/>
      <c r="F3" s="141"/>
      <c r="G3" s="142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</row>
    <row r="4" spans="1:43" s="145" customFormat="1" ht="18" customHeight="1">
      <c r="A4" s="335" t="s">
        <v>258</v>
      </c>
      <c r="B4" s="335"/>
      <c r="C4" s="335"/>
      <c r="D4" s="335"/>
      <c r="E4" s="335"/>
      <c r="F4" s="336"/>
      <c r="G4" s="148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</row>
    <row r="5" spans="1:7" ht="9.75" customHeight="1">
      <c r="A5" s="149"/>
      <c r="B5" s="149"/>
      <c r="C5" s="149"/>
      <c r="D5" s="149"/>
      <c r="E5" s="150" t="s">
        <v>72</v>
      </c>
      <c r="F5" s="151"/>
      <c r="G5" s="152"/>
    </row>
    <row r="6" spans="1:7" s="156" customFormat="1" ht="51" customHeight="1">
      <c r="A6" s="153" t="s">
        <v>259</v>
      </c>
      <c r="B6" s="153" t="s">
        <v>260</v>
      </c>
      <c r="C6" s="153" t="s">
        <v>0</v>
      </c>
      <c r="D6" s="153" t="s">
        <v>261</v>
      </c>
      <c r="E6" s="153" t="s">
        <v>262</v>
      </c>
      <c r="F6" s="154"/>
      <c r="G6" s="155"/>
    </row>
    <row r="7" spans="1:9" s="162" customFormat="1" ht="26.25" customHeight="1">
      <c r="A7" s="337" t="s">
        <v>263</v>
      </c>
      <c r="B7" s="157" t="s">
        <v>348</v>
      </c>
      <c r="C7" s="158">
        <f aca="true" t="shared" si="0" ref="C7:C32">D7+E7</f>
        <v>3000000</v>
      </c>
      <c r="D7" s="158">
        <v>3000000</v>
      </c>
      <c r="E7" s="159">
        <v>0</v>
      </c>
      <c r="F7" s="160"/>
      <c r="G7" s="160"/>
      <c r="H7" s="161"/>
      <c r="I7" s="161"/>
    </row>
    <row r="8" spans="1:9" s="162" customFormat="1" ht="26.25" customHeight="1">
      <c r="A8" s="338"/>
      <c r="B8" s="157" t="s">
        <v>348</v>
      </c>
      <c r="C8" s="158"/>
      <c r="D8" s="158">
        <v>2388358</v>
      </c>
      <c r="E8" s="159"/>
      <c r="F8" s="160"/>
      <c r="G8" s="160"/>
      <c r="H8" s="161"/>
      <c r="I8" s="161"/>
    </row>
    <row r="9" spans="1:9" s="162" customFormat="1" ht="21" customHeight="1">
      <c r="A9" s="338"/>
      <c r="B9" s="163" t="s">
        <v>264</v>
      </c>
      <c r="C9" s="158">
        <f t="shared" si="0"/>
        <v>908475</v>
      </c>
      <c r="D9" s="158">
        <v>908475</v>
      </c>
      <c r="E9" s="159">
        <v>0</v>
      </c>
      <c r="F9" s="160"/>
      <c r="G9" s="160"/>
      <c r="H9" s="161"/>
      <c r="I9" s="161"/>
    </row>
    <row r="10" spans="1:9" s="162" customFormat="1" ht="30.75" customHeight="1">
      <c r="A10" s="338"/>
      <c r="B10" s="163" t="s">
        <v>265</v>
      </c>
      <c r="C10" s="158">
        <f t="shared" si="0"/>
        <v>311550</v>
      </c>
      <c r="D10" s="158">
        <f>189550+122000</f>
        <v>311550</v>
      </c>
      <c r="E10" s="159">
        <v>0</v>
      </c>
      <c r="F10" s="160"/>
      <c r="G10" s="160"/>
      <c r="H10" s="161"/>
      <c r="I10" s="161"/>
    </row>
    <row r="11" spans="1:9" s="162" customFormat="1" ht="27.75" customHeight="1">
      <c r="A11" s="338"/>
      <c r="B11" s="163" t="s">
        <v>266</v>
      </c>
      <c r="C11" s="158">
        <f t="shared" si="0"/>
        <v>22500</v>
      </c>
      <c r="D11" s="158">
        <f>12500+10000</f>
        <v>22500</v>
      </c>
      <c r="E11" s="159">
        <v>0</v>
      </c>
      <c r="F11" s="160"/>
      <c r="G11" s="160"/>
      <c r="H11" s="161"/>
      <c r="I11" s="161"/>
    </row>
    <row r="12" spans="1:9" s="162" customFormat="1" ht="12.75">
      <c r="A12" s="338"/>
      <c r="B12" s="163" t="s">
        <v>267</v>
      </c>
      <c r="C12" s="158">
        <f t="shared" si="0"/>
        <v>280443</v>
      </c>
      <c r="D12" s="158">
        <f>152343+128100</f>
        <v>280443</v>
      </c>
      <c r="E12" s="159">
        <v>0</v>
      </c>
      <c r="F12" s="160"/>
      <c r="G12" s="160"/>
      <c r="H12" s="161"/>
      <c r="I12" s="161"/>
    </row>
    <row r="13" spans="1:9" s="162" customFormat="1" ht="27" customHeight="1">
      <c r="A13" s="338"/>
      <c r="B13" s="163" t="s">
        <v>268</v>
      </c>
      <c r="C13" s="158">
        <f t="shared" si="0"/>
        <v>126538</v>
      </c>
      <c r="D13" s="158">
        <f>66638+59900</f>
        <v>126538</v>
      </c>
      <c r="E13" s="159">
        <v>0</v>
      </c>
      <c r="F13" s="160"/>
      <c r="G13" s="160"/>
      <c r="H13" s="161"/>
      <c r="I13" s="161"/>
    </row>
    <row r="14" spans="1:9" s="162" customFormat="1" ht="31.5" customHeight="1">
      <c r="A14" s="338"/>
      <c r="B14" s="163" t="s">
        <v>269</v>
      </c>
      <c r="C14" s="158">
        <f t="shared" si="0"/>
        <v>8955</v>
      </c>
      <c r="D14" s="158">
        <f>3525+5430</f>
        <v>8955</v>
      </c>
      <c r="E14" s="159">
        <v>0</v>
      </c>
      <c r="F14" s="160"/>
      <c r="G14" s="160"/>
      <c r="H14" s="161"/>
      <c r="I14" s="161"/>
    </row>
    <row r="15" spans="1:9" s="162" customFormat="1" ht="12.75">
      <c r="A15" s="338"/>
      <c r="B15" s="157" t="s">
        <v>270</v>
      </c>
      <c r="C15" s="158">
        <f t="shared" si="0"/>
        <v>980000</v>
      </c>
      <c r="D15" s="158">
        <v>980000</v>
      </c>
      <c r="E15" s="159">
        <v>0</v>
      </c>
      <c r="F15" s="160"/>
      <c r="G15" s="160"/>
      <c r="H15" s="161"/>
      <c r="I15" s="161"/>
    </row>
    <row r="16" spans="1:9" s="162" customFormat="1" ht="24" customHeight="1">
      <c r="A16" s="338"/>
      <c r="B16" s="157" t="s">
        <v>271</v>
      </c>
      <c r="C16" s="158">
        <f t="shared" si="0"/>
        <v>655632</v>
      </c>
      <c r="D16" s="158">
        <f>300000+355632</f>
        <v>655632</v>
      </c>
      <c r="E16" s="159">
        <v>0</v>
      </c>
      <c r="F16" s="160"/>
      <c r="G16" s="160"/>
      <c r="H16" s="161"/>
      <c r="I16" s="161"/>
    </row>
    <row r="17" spans="1:9" s="162" customFormat="1" ht="18" customHeight="1">
      <c r="A17" s="338"/>
      <c r="B17" s="157" t="s">
        <v>272</v>
      </c>
      <c r="C17" s="158">
        <f t="shared" si="0"/>
        <v>149693</v>
      </c>
      <c r="D17" s="158">
        <f>74813+74880</f>
        <v>149693</v>
      </c>
      <c r="E17" s="159">
        <v>0</v>
      </c>
      <c r="F17" s="160"/>
      <c r="G17" s="160"/>
      <c r="H17" s="161"/>
      <c r="I17" s="161"/>
    </row>
    <row r="18" spans="1:9" s="162" customFormat="1" ht="35.25" customHeight="1">
      <c r="A18" s="338"/>
      <c r="B18" s="164" t="s">
        <v>273</v>
      </c>
      <c r="C18" s="158">
        <f t="shared" si="0"/>
        <v>1185098</v>
      </c>
      <c r="D18" s="158">
        <f>712850+472248</f>
        <v>1185098</v>
      </c>
      <c r="E18" s="159">
        <v>0</v>
      </c>
      <c r="F18" s="160"/>
      <c r="G18" s="160"/>
      <c r="H18" s="161"/>
      <c r="I18" s="161"/>
    </row>
    <row r="19" spans="1:9" s="162" customFormat="1" ht="25.5">
      <c r="A19" s="338"/>
      <c r="B19" s="157" t="s">
        <v>274</v>
      </c>
      <c r="C19" s="158">
        <f t="shared" si="0"/>
        <v>25000</v>
      </c>
      <c r="D19" s="158">
        <v>25000</v>
      </c>
      <c r="E19" s="159">
        <v>0</v>
      </c>
      <c r="F19" s="160"/>
      <c r="G19" s="160"/>
      <c r="H19" s="161"/>
      <c r="I19" s="161"/>
    </row>
    <row r="20" spans="1:9" s="162" customFormat="1" ht="12.75">
      <c r="A20" s="338"/>
      <c r="B20" s="157" t="s">
        <v>275</v>
      </c>
      <c r="C20" s="158">
        <f t="shared" si="0"/>
        <v>273950</v>
      </c>
      <c r="D20" s="165">
        <f>136975+136975</f>
        <v>273950</v>
      </c>
      <c r="E20" s="159">
        <v>0</v>
      </c>
      <c r="F20" s="160"/>
      <c r="G20" s="160"/>
      <c r="H20" s="161"/>
      <c r="I20" s="161"/>
    </row>
    <row r="21" spans="1:9" s="162" customFormat="1" ht="18.75" customHeight="1">
      <c r="A21" s="339"/>
      <c r="B21" s="157" t="s">
        <v>276</v>
      </c>
      <c r="C21" s="158">
        <f t="shared" si="0"/>
        <v>436345</v>
      </c>
      <c r="D21" s="158">
        <v>436345</v>
      </c>
      <c r="E21" s="159">
        <v>0</v>
      </c>
      <c r="F21" s="160"/>
      <c r="G21" s="160"/>
      <c r="H21" s="161"/>
      <c r="I21" s="161"/>
    </row>
    <row r="22" spans="1:9" s="162" customFormat="1" ht="18" customHeight="1">
      <c r="A22" s="339"/>
      <c r="B22" s="157" t="s">
        <v>277</v>
      </c>
      <c r="C22" s="158">
        <f t="shared" si="0"/>
        <v>37478</v>
      </c>
      <c r="D22" s="158">
        <v>37478</v>
      </c>
      <c r="E22" s="159">
        <v>0</v>
      </c>
      <c r="F22" s="160"/>
      <c r="G22" s="160"/>
      <c r="H22" s="161"/>
      <c r="I22" s="161"/>
    </row>
    <row r="23" spans="1:9" s="162" customFormat="1" ht="24" customHeight="1">
      <c r="A23" s="339"/>
      <c r="B23" s="157" t="s">
        <v>278</v>
      </c>
      <c r="C23" s="158">
        <f t="shared" si="0"/>
        <v>359585</v>
      </c>
      <c r="D23" s="158">
        <v>359585</v>
      </c>
      <c r="E23" s="159">
        <v>0</v>
      </c>
      <c r="F23" s="160"/>
      <c r="G23" s="160"/>
      <c r="H23" s="161"/>
      <c r="I23" s="161"/>
    </row>
    <row r="24" spans="1:9" s="162" customFormat="1" ht="18.75" customHeight="1">
      <c r="A24" s="339"/>
      <c r="B24" s="157" t="s">
        <v>279</v>
      </c>
      <c r="C24" s="158">
        <f t="shared" si="0"/>
        <v>1170067</v>
      </c>
      <c r="D24" s="158">
        <v>1170067</v>
      </c>
      <c r="E24" s="159">
        <v>0</v>
      </c>
      <c r="F24" s="160"/>
      <c r="G24" s="160"/>
      <c r="H24" s="161"/>
      <c r="I24" s="161"/>
    </row>
    <row r="25" spans="1:9" s="162" customFormat="1" ht="25.5" customHeight="1">
      <c r="A25" s="339"/>
      <c r="B25" s="157" t="s">
        <v>280</v>
      </c>
      <c r="C25" s="158">
        <f t="shared" si="0"/>
        <v>153650</v>
      </c>
      <c r="D25" s="158">
        <v>153650</v>
      </c>
      <c r="E25" s="159">
        <v>0</v>
      </c>
      <c r="F25" s="160"/>
      <c r="G25" s="160"/>
      <c r="H25" s="161"/>
      <c r="I25" s="161"/>
    </row>
    <row r="26" spans="1:9" s="162" customFormat="1" ht="20.25" customHeight="1">
      <c r="A26" s="339"/>
      <c r="B26" s="164" t="s">
        <v>281</v>
      </c>
      <c r="C26" s="158">
        <f t="shared" si="0"/>
        <v>304750</v>
      </c>
      <c r="D26" s="158">
        <v>304750</v>
      </c>
      <c r="E26" s="159">
        <v>0</v>
      </c>
      <c r="F26" s="160"/>
      <c r="G26" s="160"/>
      <c r="H26" s="161"/>
      <c r="I26" s="161"/>
    </row>
    <row r="27" spans="1:9" s="162" customFormat="1" ht="27.75" customHeight="1">
      <c r="A27" s="339"/>
      <c r="B27" s="166" t="s">
        <v>282</v>
      </c>
      <c r="C27" s="158">
        <f t="shared" si="0"/>
        <v>75000</v>
      </c>
      <c r="D27" s="158">
        <v>75000</v>
      </c>
      <c r="E27" s="159">
        <v>0</v>
      </c>
      <c r="F27" s="160"/>
      <c r="G27" s="160"/>
      <c r="H27" s="161"/>
      <c r="I27" s="161"/>
    </row>
    <row r="28" spans="1:9" s="162" customFormat="1" ht="25.5" customHeight="1">
      <c r="A28" s="339"/>
      <c r="B28" s="164" t="s">
        <v>283</v>
      </c>
      <c r="C28" s="158">
        <f t="shared" si="0"/>
        <v>630400</v>
      </c>
      <c r="D28" s="158">
        <f>150500+101900+378000</f>
        <v>630400</v>
      </c>
      <c r="E28" s="159">
        <v>0</v>
      </c>
      <c r="F28" s="160"/>
      <c r="G28" s="160"/>
      <c r="H28" s="161"/>
      <c r="I28" s="161"/>
    </row>
    <row r="29" spans="1:9" s="162" customFormat="1" ht="18.75" customHeight="1">
      <c r="A29" s="339"/>
      <c r="B29" s="164" t="s">
        <v>336</v>
      </c>
      <c r="C29" s="158">
        <f t="shared" si="0"/>
        <v>25000</v>
      </c>
      <c r="D29" s="158">
        <v>25000</v>
      </c>
      <c r="E29" s="159">
        <v>0</v>
      </c>
      <c r="F29" s="160"/>
      <c r="G29" s="160"/>
      <c r="H29" s="161"/>
      <c r="I29" s="161"/>
    </row>
    <row r="30" spans="1:9" s="162" customFormat="1" ht="15.75" customHeight="1">
      <c r="A30" s="339"/>
      <c r="B30" s="157" t="s">
        <v>337</v>
      </c>
      <c r="C30" s="158">
        <f t="shared" si="0"/>
        <v>14600</v>
      </c>
      <c r="D30" s="158">
        <v>14600</v>
      </c>
      <c r="E30" s="159">
        <v>0</v>
      </c>
      <c r="F30" s="160"/>
      <c r="G30" s="160"/>
      <c r="H30" s="161"/>
      <c r="I30" s="161"/>
    </row>
    <row r="31" spans="1:9" s="162" customFormat="1" ht="18" customHeight="1" hidden="1">
      <c r="A31" s="340"/>
      <c r="B31" s="167"/>
      <c r="C31" s="158">
        <f t="shared" si="0"/>
        <v>0</v>
      </c>
      <c r="D31" s="158"/>
      <c r="E31" s="159">
        <v>0</v>
      </c>
      <c r="F31" s="160"/>
      <c r="G31" s="160"/>
      <c r="H31" s="161"/>
      <c r="I31" s="161"/>
    </row>
    <row r="32" spans="1:9" ht="12.75">
      <c r="A32" s="341" t="s">
        <v>284</v>
      </c>
      <c r="B32" s="342"/>
      <c r="C32" s="168">
        <f t="shared" si="0"/>
        <v>13523067</v>
      </c>
      <c r="D32" s="168">
        <f>SUM(D7:D31)</f>
        <v>13523067</v>
      </c>
      <c r="E32" s="168">
        <f>E7</f>
        <v>0</v>
      </c>
      <c r="F32" s="160"/>
      <c r="G32" s="160"/>
      <c r="H32" s="161"/>
      <c r="I32" s="161"/>
    </row>
    <row r="33" spans="3:9" ht="12.75">
      <c r="C33" s="169"/>
      <c r="D33" s="169"/>
      <c r="E33" s="169"/>
      <c r="I33" s="170"/>
    </row>
    <row r="34" spans="1:13" ht="13.5" thickBot="1">
      <c r="A34" s="331" t="s">
        <v>3</v>
      </c>
      <c r="B34" s="332"/>
      <c r="C34" s="171"/>
      <c r="D34" s="172"/>
      <c r="E34" s="172" t="s">
        <v>313</v>
      </c>
      <c r="G34" s="173"/>
      <c r="H34" s="162"/>
      <c r="I34" s="173"/>
      <c r="J34" s="173"/>
      <c r="K34" s="173"/>
      <c r="L34" s="173"/>
      <c r="M34" s="174"/>
    </row>
    <row r="35" spans="3:9" ht="12.75">
      <c r="C35" s="169"/>
      <c r="D35" s="169"/>
      <c r="E35" s="169"/>
      <c r="I35" s="170"/>
    </row>
    <row r="36" spans="3:9" ht="12.75">
      <c r="C36" s="169"/>
      <c r="D36" s="169"/>
      <c r="E36" s="169"/>
      <c r="I36" s="170"/>
    </row>
    <row r="37" spans="3:9" ht="12.75">
      <c r="C37" s="169"/>
      <c r="D37" s="169"/>
      <c r="E37" s="169"/>
      <c r="I37" s="170"/>
    </row>
    <row r="38" spans="3:9" ht="12.75">
      <c r="C38" s="169"/>
      <c r="D38" s="169"/>
      <c r="E38" s="169"/>
      <c r="I38" s="170"/>
    </row>
    <row r="39" spans="3:5" s="176" customFormat="1" ht="12.75">
      <c r="C39" s="175"/>
      <c r="D39" s="175"/>
      <c r="E39" s="175"/>
    </row>
    <row r="40" spans="3:5" s="162" customFormat="1" ht="12.75">
      <c r="C40" s="177"/>
      <c r="D40" s="177"/>
      <c r="E40" s="177"/>
    </row>
    <row r="41" spans="3:5" s="162" customFormat="1" ht="12.75">
      <c r="C41" s="177"/>
      <c r="D41" s="177"/>
      <c r="E41" s="177"/>
    </row>
    <row r="42" spans="3:5" s="162" customFormat="1" ht="12.75">
      <c r="C42" s="177"/>
      <c r="D42" s="177"/>
      <c r="E42" s="177"/>
    </row>
    <row r="43" spans="3:5" s="162" customFormat="1" ht="12.75">
      <c r="C43" s="177"/>
      <c r="D43" s="177"/>
      <c r="E43" s="177"/>
    </row>
    <row r="44" spans="3:5" s="162" customFormat="1" ht="12.75">
      <c r="C44" s="177"/>
      <c r="D44" s="177"/>
      <c r="E44" s="177"/>
    </row>
    <row r="45" spans="3:5" s="162" customFormat="1" ht="12.75">
      <c r="C45" s="177"/>
      <c r="D45" s="177"/>
      <c r="E45" s="177"/>
    </row>
    <row r="46" spans="3:5" s="162" customFormat="1" ht="12.75">
      <c r="C46" s="177"/>
      <c r="D46" s="177"/>
      <c r="E46" s="177"/>
    </row>
    <row r="47" spans="3:5" s="162" customFormat="1" ht="12.75">
      <c r="C47" s="177"/>
      <c r="D47" s="177"/>
      <c r="E47" s="177"/>
    </row>
    <row r="48" spans="3:5" s="162" customFormat="1" ht="12.75">
      <c r="C48" s="177"/>
      <c r="D48" s="177"/>
      <c r="E48" s="177"/>
    </row>
    <row r="49" spans="3:5" s="162" customFormat="1" ht="12.75">
      <c r="C49" s="177"/>
      <c r="D49" s="177"/>
      <c r="E49" s="177"/>
    </row>
    <row r="50" spans="3:5" s="162" customFormat="1" ht="12.75">
      <c r="C50" s="177"/>
      <c r="D50" s="177"/>
      <c r="E50" s="177"/>
    </row>
    <row r="51" spans="3:5" s="162" customFormat="1" ht="12.75">
      <c r="C51" s="177"/>
      <c r="D51" s="177"/>
      <c r="E51" s="177"/>
    </row>
    <row r="52" spans="3:5" s="162" customFormat="1" ht="12.75">
      <c r="C52" s="177"/>
      <c r="D52" s="177"/>
      <c r="E52" s="177"/>
    </row>
    <row r="53" spans="3:7" s="179" customFormat="1" ht="12.75">
      <c r="C53" s="178"/>
      <c r="D53" s="178"/>
      <c r="E53" s="178"/>
      <c r="F53" s="162"/>
      <c r="G53" s="162"/>
    </row>
    <row r="54" spans="3:8" ht="12.75">
      <c r="C54" s="178"/>
      <c r="D54" s="178"/>
      <c r="E54" s="178"/>
      <c r="H54" s="179"/>
    </row>
  </sheetData>
  <mergeCells count="5">
    <mergeCell ref="A34:B34"/>
    <mergeCell ref="D1:E1"/>
    <mergeCell ref="A4:F4"/>
    <mergeCell ref="A7:A31"/>
    <mergeCell ref="A32:B32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scale="74" r:id="rId1"/>
  <colBreaks count="1" manualBreakCount="1">
    <brk id="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zoomScale="70" zoomScaleSheetLayoutView="70" workbookViewId="0" topLeftCell="B1">
      <selection activeCell="E30" sqref="E30"/>
    </sheetView>
  </sheetViews>
  <sheetFormatPr defaultColWidth="9.16015625" defaultRowHeight="12.75"/>
  <cols>
    <col min="1" max="1" width="3.83203125" style="182" hidden="1" customWidth="1"/>
    <col min="2" max="2" width="15.5" style="182" customWidth="1"/>
    <col min="3" max="3" width="13.16015625" style="182" customWidth="1"/>
    <col min="4" max="4" width="13.66015625" style="182" customWidth="1"/>
    <col min="5" max="5" width="79" style="182" customWidth="1"/>
    <col min="6" max="6" width="45" style="182" customWidth="1"/>
    <col min="7" max="9" width="21.16015625" style="182" customWidth="1"/>
    <col min="10" max="10" width="4.33203125" style="184" customWidth="1"/>
    <col min="11" max="16384" width="9.16015625" style="184" customWidth="1"/>
  </cols>
  <sheetData>
    <row r="1" spans="1:9" s="181" customFormat="1" ht="13.5" customHeight="1">
      <c r="A1" s="180"/>
      <c r="B1" s="344"/>
      <c r="C1" s="344"/>
      <c r="D1" s="344"/>
      <c r="E1" s="344"/>
      <c r="F1" s="344"/>
      <c r="G1" s="344"/>
      <c r="H1" s="344"/>
      <c r="I1" s="344"/>
    </row>
    <row r="2" spans="7:10" ht="63" customHeight="1">
      <c r="G2" s="345" t="s">
        <v>338</v>
      </c>
      <c r="H2" s="345"/>
      <c r="I2" s="345"/>
      <c r="J2" s="183"/>
    </row>
    <row r="3" spans="2:9" ht="42" customHeight="1">
      <c r="B3" s="346" t="s">
        <v>285</v>
      </c>
      <c r="C3" s="346"/>
      <c r="D3" s="346"/>
      <c r="E3" s="347"/>
      <c r="F3" s="347"/>
      <c r="G3" s="347"/>
      <c r="H3" s="347"/>
      <c r="I3" s="347"/>
    </row>
    <row r="4" spans="2:9" ht="18.75">
      <c r="B4" s="185"/>
      <c r="C4" s="185"/>
      <c r="D4" s="185"/>
      <c r="E4" s="185"/>
      <c r="F4" s="186"/>
      <c r="G4" s="186"/>
      <c r="H4" s="187"/>
      <c r="I4" s="188" t="s">
        <v>286</v>
      </c>
    </row>
    <row r="5" spans="1:9" ht="107.25" customHeight="1">
      <c r="A5" s="189"/>
      <c r="B5" s="190" t="s">
        <v>287</v>
      </c>
      <c r="C5" s="191" t="s">
        <v>288</v>
      </c>
      <c r="D5" s="191" t="s">
        <v>24</v>
      </c>
      <c r="E5" s="191" t="s">
        <v>289</v>
      </c>
      <c r="F5" s="192" t="s">
        <v>290</v>
      </c>
      <c r="G5" s="193" t="s">
        <v>1</v>
      </c>
      <c r="H5" s="192" t="s">
        <v>2</v>
      </c>
      <c r="I5" s="192" t="s">
        <v>291</v>
      </c>
    </row>
    <row r="6" spans="1:9" s="198" customFormat="1" ht="22.5" customHeight="1" hidden="1">
      <c r="A6" s="194"/>
      <c r="B6" s="195"/>
      <c r="C6" s="195"/>
      <c r="D6" s="195"/>
      <c r="E6" s="196" t="s">
        <v>295</v>
      </c>
      <c r="F6" s="197"/>
      <c r="G6" s="197"/>
      <c r="H6" s="197"/>
      <c r="I6" s="197"/>
    </row>
    <row r="7" spans="2:9" ht="21" customHeight="1">
      <c r="B7" s="195" t="s">
        <v>76</v>
      </c>
      <c r="C7" s="195"/>
      <c r="D7" s="195"/>
      <c r="E7" s="199" t="s">
        <v>15</v>
      </c>
      <c r="F7" s="200"/>
      <c r="G7" s="201">
        <f>G8+G10+G11+G12+G13+G14+G15+G16+G24+G22+G20</f>
        <v>17182500</v>
      </c>
      <c r="H7" s="201">
        <f>H8+H10+H11+H12+H13+H14+H15+H16+H24+H22+H20</f>
        <v>5772677</v>
      </c>
      <c r="I7" s="201">
        <f>I8+I10+I11+I12+I13+I14+I15+I16+I24+I22+I20</f>
        <v>22955177</v>
      </c>
    </row>
    <row r="8" spans="2:9" ht="28.5" customHeight="1" hidden="1">
      <c r="B8" s="202" t="s">
        <v>292</v>
      </c>
      <c r="C8" s="202"/>
      <c r="D8" s="202"/>
      <c r="E8" s="203" t="s">
        <v>293</v>
      </c>
      <c r="F8" s="348" t="s">
        <v>294</v>
      </c>
      <c r="G8" s="204">
        <v>0</v>
      </c>
      <c r="H8" s="204">
        <v>0</v>
      </c>
      <c r="I8" s="204">
        <f>G8+H8</f>
        <v>0</v>
      </c>
    </row>
    <row r="9" spans="2:9" ht="16.5" customHeight="1">
      <c r="B9" s="202" t="s">
        <v>14</v>
      </c>
      <c r="C9" s="202"/>
      <c r="D9" s="202"/>
      <c r="E9" s="199" t="s">
        <v>15</v>
      </c>
      <c r="F9" s="349"/>
      <c r="G9" s="204"/>
      <c r="H9" s="204"/>
      <c r="I9" s="204"/>
    </row>
    <row r="10" spans="2:9" ht="15">
      <c r="B10" s="205" t="s">
        <v>49</v>
      </c>
      <c r="C10" s="205" t="s">
        <v>50</v>
      </c>
      <c r="D10" s="205" t="s">
        <v>51</v>
      </c>
      <c r="E10" s="206" t="s">
        <v>81</v>
      </c>
      <c r="F10" s="349"/>
      <c r="G10" s="204">
        <v>0</v>
      </c>
      <c r="H10" s="204">
        <v>3222677</v>
      </c>
      <c r="I10" s="201">
        <f aca="true" t="shared" si="0" ref="I10:I31">H10+G10</f>
        <v>3222677</v>
      </c>
    </row>
    <row r="11" spans="2:9" ht="15">
      <c r="B11" s="205" t="s">
        <v>55</v>
      </c>
      <c r="C11" s="205" t="s">
        <v>53</v>
      </c>
      <c r="D11" s="205" t="s">
        <v>54</v>
      </c>
      <c r="E11" s="207" t="s">
        <v>82</v>
      </c>
      <c r="F11" s="349"/>
      <c r="G11" s="204">
        <v>12773840</v>
      </c>
      <c r="H11" s="204">
        <v>2500000</v>
      </c>
      <c r="I11" s="201">
        <f t="shared" si="0"/>
        <v>15273840</v>
      </c>
    </row>
    <row r="12" spans="2:9" ht="15">
      <c r="B12" s="208" t="s">
        <v>25</v>
      </c>
      <c r="C12" s="208" t="s">
        <v>26</v>
      </c>
      <c r="D12" s="208" t="s">
        <v>27</v>
      </c>
      <c r="E12" s="207" t="s">
        <v>52</v>
      </c>
      <c r="F12" s="349"/>
      <c r="G12" s="204">
        <v>3207787</v>
      </c>
      <c r="H12" s="204">
        <v>0</v>
      </c>
      <c r="I12" s="201">
        <f t="shared" si="0"/>
        <v>3207787</v>
      </c>
    </row>
    <row r="13" spans="2:9" ht="15" customHeight="1">
      <c r="B13" s="209" t="s">
        <v>41</v>
      </c>
      <c r="C13" s="205" t="s">
        <v>39</v>
      </c>
      <c r="D13" s="205" t="s">
        <v>40</v>
      </c>
      <c r="E13" s="207" t="s">
        <v>78</v>
      </c>
      <c r="F13" s="349"/>
      <c r="G13" s="204">
        <v>240000</v>
      </c>
      <c r="H13" s="204">
        <v>0</v>
      </c>
      <c r="I13" s="201">
        <f t="shared" si="0"/>
        <v>240000</v>
      </c>
    </row>
    <row r="14" spans="2:9" ht="66" customHeight="1">
      <c r="B14" s="209" t="s">
        <v>43</v>
      </c>
      <c r="C14" s="205" t="s">
        <v>42</v>
      </c>
      <c r="D14" s="205" t="s">
        <v>44</v>
      </c>
      <c r="E14" s="210" t="s">
        <v>77</v>
      </c>
      <c r="F14" s="349"/>
      <c r="G14" s="204">
        <v>150000</v>
      </c>
      <c r="H14" s="204">
        <v>0</v>
      </c>
      <c r="I14" s="201">
        <f t="shared" si="0"/>
        <v>150000</v>
      </c>
    </row>
    <row r="15" spans="2:9" ht="15">
      <c r="B15" s="205" t="s">
        <v>47</v>
      </c>
      <c r="C15" s="205" t="s">
        <v>48</v>
      </c>
      <c r="D15" s="205" t="s">
        <v>87</v>
      </c>
      <c r="E15" s="206" t="s">
        <v>4</v>
      </c>
      <c r="F15" s="349"/>
      <c r="G15" s="204">
        <v>21595</v>
      </c>
      <c r="H15" s="204">
        <v>0</v>
      </c>
      <c r="I15" s="201">
        <f t="shared" si="0"/>
        <v>21595</v>
      </c>
    </row>
    <row r="16" spans="2:9" ht="15">
      <c r="B16" s="205" t="s">
        <v>34</v>
      </c>
      <c r="C16" s="205">
        <v>8600</v>
      </c>
      <c r="D16" s="205" t="s">
        <v>29</v>
      </c>
      <c r="E16" s="207" t="s">
        <v>7</v>
      </c>
      <c r="F16" s="349"/>
      <c r="G16" s="204">
        <v>182000</v>
      </c>
      <c r="H16" s="204">
        <v>50000</v>
      </c>
      <c r="I16" s="201">
        <f t="shared" si="0"/>
        <v>232000</v>
      </c>
    </row>
    <row r="17" spans="2:9" ht="14.25">
      <c r="B17" s="215" t="s">
        <v>91</v>
      </c>
      <c r="C17" s="215" t="s">
        <v>92</v>
      </c>
      <c r="D17" s="215"/>
      <c r="E17" s="279" t="s">
        <v>96</v>
      </c>
      <c r="F17" s="350"/>
      <c r="G17" s="217">
        <v>0</v>
      </c>
      <c r="H17" s="217">
        <f>H18</f>
        <v>114973</v>
      </c>
      <c r="I17" s="217">
        <f>I18</f>
        <v>114973</v>
      </c>
    </row>
    <row r="18" spans="2:9" ht="15.75" customHeight="1">
      <c r="B18" s="205" t="s">
        <v>93</v>
      </c>
      <c r="C18" s="205" t="s">
        <v>94</v>
      </c>
      <c r="D18" s="205" t="s">
        <v>95</v>
      </c>
      <c r="E18" s="211" t="s">
        <v>97</v>
      </c>
      <c r="F18" s="350"/>
      <c r="G18" s="204">
        <v>0</v>
      </c>
      <c r="H18" s="204">
        <v>114973</v>
      </c>
      <c r="I18" s="201">
        <f t="shared" si="0"/>
        <v>114973</v>
      </c>
    </row>
    <row r="19" spans="2:9" ht="30.75" customHeight="1">
      <c r="B19" s="215" t="s">
        <v>100</v>
      </c>
      <c r="C19" s="215" t="s">
        <v>101</v>
      </c>
      <c r="D19" s="215"/>
      <c r="E19" s="280" t="s">
        <v>99</v>
      </c>
      <c r="F19" s="350"/>
      <c r="G19" s="217">
        <f>G20</f>
        <v>25000</v>
      </c>
      <c r="H19" s="217">
        <f>H20</f>
        <v>0</v>
      </c>
      <c r="I19" s="217">
        <f>I20</f>
        <v>25000</v>
      </c>
    </row>
    <row r="20" spans="2:9" ht="17.25" customHeight="1">
      <c r="B20" s="205" t="s">
        <v>102</v>
      </c>
      <c r="C20" s="205" t="s">
        <v>103</v>
      </c>
      <c r="D20" s="205" t="s">
        <v>27</v>
      </c>
      <c r="E20" s="212" t="s">
        <v>99</v>
      </c>
      <c r="F20" s="350"/>
      <c r="G20" s="204">
        <v>25000</v>
      </c>
      <c r="H20" s="204">
        <v>0</v>
      </c>
      <c r="I20" s="201">
        <f t="shared" si="0"/>
        <v>25000</v>
      </c>
    </row>
    <row r="21" spans="2:9" ht="21.75" customHeight="1">
      <c r="B21" s="215" t="s">
        <v>116</v>
      </c>
      <c r="C21" s="215" t="s">
        <v>123</v>
      </c>
      <c r="D21" s="215"/>
      <c r="E21" s="281" t="s">
        <v>115</v>
      </c>
      <c r="F21" s="350"/>
      <c r="G21" s="217">
        <f>G22</f>
        <v>37278</v>
      </c>
      <c r="H21" s="217">
        <f>H22</f>
        <v>0</v>
      </c>
      <c r="I21" s="217">
        <f>I22</f>
        <v>37278</v>
      </c>
    </row>
    <row r="22" spans="2:9" ht="45" customHeight="1">
      <c r="B22" s="205" t="s">
        <v>117</v>
      </c>
      <c r="C22" s="205" t="s">
        <v>119</v>
      </c>
      <c r="D22" s="205" t="s">
        <v>118</v>
      </c>
      <c r="E22" s="213" t="s">
        <v>120</v>
      </c>
      <c r="F22" s="350"/>
      <c r="G22" s="204">
        <v>37278</v>
      </c>
      <c r="H22" s="204">
        <v>0</v>
      </c>
      <c r="I22" s="201">
        <f t="shared" si="0"/>
        <v>37278</v>
      </c>
    </row>
    <row r="23" spans="2:9" ht="142.5">
      <c r="B23" s="215" t="s">
        <v>88</v>
      </c>
      <c r="C23" s="215" t="s">
        <v>89</v>
      </c>
      <c r="D23" s="215"/>
      <c r="E23" s="216" t="s">
        <v>90</v>
      </c>
      <c r="F23" s="350"/>
      <c r="G23" s="217">
        <f>G24</f>
        <v>545000</v>
      </c>
      <c r="H23" s="217">
        <f>H24</f>
        <v>0</v>
      </c>
      <c r="I23" s="217">
        <f>I24</f>
        <v>545000</v>
      </c>
    </row>
    <row r="24" spans="2:9" ht="30.75" customHeight="1">
      <c r="B24" s="205" t="s">
        <v>62</v>
      </c>
      <c r="C24" s="205" t="s">
        <v>63</v>
      </c>
      <c r="D24" s="205" t="s">
        <v>64</v>
      </c>
      <c r="E24" s="207" t="s">
        <v>19</v>
      </c>
      <c r="F24" s="350"/>
      <c r="G24" s="204">
        <v>545000</v>
      </c>
      <c r="H24" s="204">
        <v>0</v>
      </c>
      <c r="I24" s="201">
        <f t="shared" si="0"/>
        <v>545000</v>
      </c>
    </row>
    <row r="25" spans="2:9" ht="30.75" customHeight="1">
      <c r="B25" s="42" t="s">
        <v>350</v>
      </c>
      <c r="C25" s="42"/>
      <c r="D25" s="42"/>
      <c r="E25" s="47" t="s">
        <v>369</v>
      </c>
      <c r="F25" s="350"/>
      <c r="G25" s="217">
        <f>G27</f>
        <v>12722</v>
      </c>
      <c r="H25" s="204">
        <f>H27</f>
        <v>0</v>
      </c>
      <c r="I25" s="201">
        <f t="shared" si="0"/>
        <v>12722</v>
      </c>
    </row>
    <row r="26" spans="2:9" ht="30.75" customHeight="1">
      <c r="B26" s="42" t="s">
        <v>352</v>
      </c>
      <c r="C26" s="42"/>
      <c r="D26" s="42"/>
      <c r="E26" s="47" t="s">
        <v>351</v>
      </c>
      <c r="F26" s="350"/>
      <c r="G26" s="204"/>
      <c r="H26" s="204"/>
      <c r="I26" s="201"/>
    </row>
    <row r="27" spans="2:9" ht="30.75" customHeight="1">
      <c r="B27" s="42" t="s">
        <v>357</v>
      </c>
      <c r="C27" s="42" t="s">
        <v>123</v>
      </c>
      <c r="D27" s="42"/>
      <c r="E27" s="50" t="s">
        <v>115</v>
      </c>
      <c r="F27" s="350"/>
      <c r="G27" s="204">
        <f>G28</f>
        <v>12722</v>
      </c>
      <c r="H27" s="204">
        <f>H28</f>
        <v>0</v>
      </c>
      <c r="I27" s="201">
        <f t="shared" si="0"/>
        <v>12722</v>
      </c>
    </row>
    <row r="28" spans="2:9" ht="48" customHeight="1">
      <c r="B28" s="28" t="s">
        <v>358</v>
      </c>
      <c r="C28" s="31" t="s">
        <v>119</v>
      </c>
      <c r="D28" s="31" t="s">
        <v>118</v>
      </c>
      <c r="E28" s="44" t="s">
        <v>120</v>
      </c>
      <c r="F28" s="350"/>
      <c r="G28" s="204">
        <v>12722</v>
      </c>
      <c r="H28" s="204">
        <v>0</v>
      </c>
      <c r="I28" s="201">
        <f t="shared" si="0"/>
        <v>12722</v>
      </c>
    </row>
    <row r="29" spans="2:9" ht="17.25" customHeight="1">
      <c r="B29" s="29" t="s">
        <v>359</v>
      </c>
      <c r="C29" s="42"/>
      <c r="D29" s="42"/>
      <c r="E29" s="47" t="s">
        <v>360</v>
      </c>
      <c r="F29" s="350"/>
      <c r="G29" s="217">
        <f>G31</f>
        <v>321905</v>
      </c>
      <c r="H29" s="204"/>
      <c r="I29" s="201">
        <f t="shared" si="0"/>
        <v>321905</v>
      </c>
    </row>
    <row r="30" spans="2:9" ht="23.25" customHeight="1">
      <c r="B30" s="29" t="s">
        <v>361</v>
      </c>
      <c r="C30" s="42"/>
      <c r="D30" s="42"/>
      <c r="E30" s="47" t="s">
        <v>360</v>
      </c>
      <c r="F30" s="350"/>
      <c r="G30" s="204"/>
      <c r="H30" s="204"/>
      <c r="I30" s="201"/>
    </row>
    <row r="31" spans="2:9" ht="21" customHeight="1">
      <c r="B31" s="31" t="s">
        <v>367</v>
      </c>
      <c r="C31" s="31" t="s">
        <v>48</v>
      </c>
      <c r="D31" s="31" t="s">
        <v>87</v>
      </c>
      <c r="E31" s="49" t="s">
        <v>4</v>
      </c>
      <c r="F31" s="350"/>
      <c r="G31" s="204">
        <v>321905</v>
      </c>
      <c r="H31" s="204">
        <v>0</v>
      </c>
      <c r="I31" s="201">
        <f t="shared" si="0"/>
        <v>321905</v>
      </c>
    </row>
    <row r="32" spans="2:9" ht="48" customHeight="1" hidden="1">
      <c r="B32" s="28"/>
      <c r="C32" s="31"/>
      <c r="D32" s="31"/>
      <c r="E32" s="44"/>
      <c r="F32" s="350"/>
      <c r="G32" s="204"/>
      <c r="H32" s="204"/>
      <c r="I32" s="201"/>
    </row>
    <row r="33" spans="1:9" s="218" customFormat="1" ht="14.25">
      <c r="A33" s="214"/>
      <c r="B33" s="215" t="s">
        <v>104</v>
      </c>
      <c r="C33" s="215"/>
      <c r="D33" s="215"/>
      <c r="E33" s="216" t="s">
        <v>107</v>
      </c>
      <c r="F33" s="351"/>
      <c r="G33" s="217"/>
      <c r="H33" s="217"/>
      <c r="I33" s="217"/>
    </row>
    <row r="34" spans="1:9" s="218" customFormat="1" ht="14.25">
      <c r="A34" s="214"/>
      <c r="B34" s="215" t="s">
        <v>105</v>
      </c>
      <c r="C34" s="215"/>
      <c r="D34" s="215"/>
      <c r="E34" s="216" t="s">
        <v>107</v>
      </c>
      <c r="F34" s="351"/>
      <c r="G34" s="217">
        <f>G35</f>
        <v>42000</v>
      </c>
      <c r="H34" s="217">
        <f>H35</f>
        <v>0</v>
      </c>
      <c r="I34" s="201">
        <f>H34+G34</f>
        <v>42000</v>
      </c>
    </row>
    <row r="35" spans="2:9" ht="36.75" customHeight="1">
      <c r="B35" s="205" t="s">
        <v>114</v>
      </c>
      <c r="C35" s="205" t="s">
        <v>112</v>
      </c>
      <c r="D35" s="205" t="s">
        <v>67</v>
      </c>
      <c r="E35" s="207" t="s">
        <v>113</v>
      </c>
      <c r="F35" s="352"/>
      <c r="G35" s="204">
        <v>42000</v>
      </c>
      <c r="H35" s="204">
        <v>0</v>
      </c>
      <c r="I35" s="201">
        <f>H35+G35</f>
        <v>42000</v>
      </c>
    </row>
    <row r="36" spans="2:9" ht="33.75" customHeight="1">
      <c r="B36" s="219"/>
      <c r="C36" s="219"/>
      <c r="D36" s="219"/>
      <c r="E36" s="220" t="s">
        <v>5</v>
      </c>
      <c r="F36" s="221"/>
      <c r="G36" s="222">
        <f>G7+G34+G25+G29</f>
        <v>17559127</v>
      </c>
      <c r="H36" s="222">
        <f>H7+H34+H25+H29</f>
        <v>5772677</v>
      </c>
      <c r="I36" s="222">
        <f>I7+I34+I25+I29</f>
        <v>23331804</v>
      </c>
    </row>
    <row r="38" spans="2:9" ht="21.75" customHeight="1">
      <c r="B38" s="287" t="s">
        <v>218</v>
      </c>
      <c r="C38" s="288"/>
      <c r="D38" s="18"/>
      <c r="E38" s="6"/>
      <c r="F38" s="5" t="s">
        <v>220</v>
      </c>
      <c r="G38" s="5"/>
      <c r="H38" s="5"/>
      <c r="I38" s="223"/>
    </row>
    <row r="39" spans="2:17" ht="20.25" customHeight="1" hidden="1">
      <c r="B39" s="343"/>
      <c r="C39" s="343"/>
      <c r="D39" s="343"/>
      <c r="E39" s="343"/>
      <c r="F39" s="343"/>
      <c r="G39" s="343"/>
      <c r="H39" s="343"/>
      <c r="I39" s="343"/>
      <c r="J39" s="224"/>
      <c r="K39" s="224"/>
      <c r="L39" s="224"/>
      <c r="M39" s="224"/>
      <c r="N39" s="224"/>
      <c r="O39" s="224"/>
      <c r="P39" s="224"/>
      <c r="Q39" s="224"/>
    </row>
    <row r="40" spans="2:17" ht="19.5" customHeight="1" hidden="1">
      <c r="B40" s="343"/>
      <c r="C40" s="343"/>
      <c r="D40" s="343"/>
      <c r="E40" s="343"/>
      <c r="F40" s="343"/>
      <c r="G40" s="343"/>
      <c r="H40" s="343"/>
      <c r="I40" s="343"/>
      <c r="J40" s="224"/>
      <c r="K40" s="224"/>
      <c r="L40" s="224"/>
      <c r="M40" s="224"/>
      <c r="N40" s="224"/>
      <c r="O40" s="224"/>
      <c r="P40" s="224"/>
      <c r="Q40" s="224"/>
    </row>
    <row r="41" ht="39" customHeight="1"/>
    <row r="42" spans="2:7" ht="12.75">
      <c r="B42" s="184"/>
      <c r="C42" s="184"/>
      <c r="D42" s="184"/>
      <c r="E42" s="184"/>
      <c r="F42" s="184"/>
      <c r="G42" s="184"/>
    </row>
  </sheetData>
  <sheetProtection/>
  <mergeCells count="7">
    <mergeCell ref="B39:I39"/>
    <mergeCell ref="B40:I40"/>
    <mergeCell ref="B1:I1"/>
    <mergeCell ref="G2:I2"/>
    <mergeCell ref="B3:I3"/>
    <mergeCell ref="B38:C38"/>
    <mergeCell ref="F8:F35"/>
  </mergeCells>
  <printOptions/>
  <pageMargins left="0.5118110236220472" right="0.5118110236220472" top="0.35433070866141736" bottom="0.6299212598425197" header="0.35433070866141736" footer="0.35433070866141736"/>
  <pageSetup horizontalDpi="600" verticalDpi="600" orientation="landscape" paperSize="9" scale="65" r:id="rId1"/>
  <headerFooter alignWithMargins="0">
    <oddFooter>&amp;R&amp;P</oddFooter>
  </headerFooter>
  <rowBreaks count="1" manualBreakCount="1">
    <brk id="4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63"/>
  <sheetViews>
    <sheetView view="pageBreakPreview" zoomScaleNormal="75" zoomScaleSheetLayoutView="100" workbookViewId="0" topLeftCell="F16">
      <selection activeCell="H11" sqref="H11"/>
    </sheetView>
  </sheetViews>
  <sheetFormatPr defaultColWidth="9.16015625" defaultRowHeight="12.75"/>
  <cols>
    <col min="1" max="1" width="3.83203125" style="3" hidden="1" customWidth="1"/>
    <col min="2" max="2" width="15.16015625" style="3" customWidth="1"/>
    <col min="3" max="3" width="14" style="3" customWidth="1"/>
    <col min="4" max="4" width="16" style="3" customWidth="1"/>
    <col min="5" max="5" width="44" style="3" customWidth="1"/>
    <col min="6" max="6" width="69.83203125" style="17" customWidth="1"/>
    <col min="7" max="10" width="21.16015625" style="3" customWidth="1"/>
    <col min="11" max="16384" width="9.16015625" style="8" customWidth="1"/>
  </cols>
  <sheetData>
    <row r="1" spans="1:10" s="226" customFormat="1" ht="7.5" customHeight="1">
      <c r="A1" s="225"/>
      <c r="B1" s="356"/>
      <c r="C1" s="356"/>
      <c r="D1" s="356"/>
      <c r="E1" s="356"/>
      <c r="F1" s="356"/>
      <c r="G1" s="356"/>
      <c r="H1" s="356"/>
      <c r="I1" s="356"/>
      <c r="J1" s="356"/>
    </row>
    <row r="2" spans="7:12" ht="47.25" customHeight="1">
      <c r="G2" s="284" t="s">
        <v>346</v>
      </c>
      <c r="H2" s="284"/>
      <c r="I2" s="284"/>
      <c r="J2" s="284"/>
      <c r="K2" s="7"/>
      <c r="L2" s="7"/>
    </row>
    <row r="3" spans="2:10" ht="45" customHeight="1">
      <c r="B3" s="357" t="s">
        <v>296</v>
      </c>
      <c r="C3" s="358"/>
      <c r="D3" s="358"/>
      <c r="E3" s="358"/>
      <c r="F3" s="358"/>
      <c r="G3" s="358"/>
      <c r="H3" s="358"/>
      <c r="I3" s="358"/>
      <c r="J3" s="358"/>
    </row>
    <row r="4" spans="2:10" ht="18.75">
      <c r="B4" s="227"/>
      <c r="C4" s="228"/>
      <c r="D4" s="228"/>
      <c r="E4" s="228"/>
      <c r="F4" s="229"/>
      <c r="G4" s="230"/>
      <c r="H4" s="231"/>
      <c r="I4" s="230"/>
      <c r="J4" s="103" t="s">
        <v>286</v>
      </c>
    </row>
    <row r="5" spans="1:10" ht="89.25">
      <c r="A5" s="13"/>
      <c r="B5" s="190" t="s">
        <v>287</v>
      </c>
      <c r="C5" s="191" t="s">
        <v>288</v>
      </c>
      <c r="D5" s="191" t="s">
        <v>24</v>
      </c>
      <c r="E5" s="191" t="s">
        <v>289</v>
      </c>
      <c r="F5" s="232" t="s">
        <v>297</v>
      </c>
      <c r="G5" s="232" t="s">
        <v>298</v>
      </c>
      <c r="H5" s="232" t="s">
        <v>299</v>
      </c>
      <c r="I5" s="232" t="s">
        <v>300</v>
      </c>
      <c r="J5" s="232" t="s">
        <v>301</v>
      </c>
    </row>
    <row r="6" spans="1:10" ht="32.25" customHeight="1">
      <c r="A6" s="13"/>
      <c r="B6" s="233" t="s">
        <v>76</v>
      </c>
      <c r="C6" s="191"/>
      <c r="D6" s="191"/>
      <c r="E6" s="199" t="s">
        <v>15</v>
      </c>
      <c r="F6" s="232"/>
      <c r="G6" s="232"/>
      <c r="H6" s="232"/>
      <c r="I6" s="232"/>
      <c r="J6" s="232"/>
    </row>
    <row r="7" spans="1:10" s="15" customFormat="1" ht="27.75" customHeight="1">
      <c r="A7" s="14"/>
      <c r="B7" s="233" t="s">
        <v>14</v>
      </c>
      <c r="C7" s="233"/>
      <c r="D7" s="233"/>
      <c r="E7" s="199" t="s">
        <v>15</v>
      </c>
      <c r="F7" s="234"/>
      <c r="G7" s="217">
        <f>G57</f>
        <v>3222677</v>
      </c>
      <c r="H7" s="217">
        <f>H9</f>
        <v>100</v>
      </c>
      <c r="I7" s="217">
        <f>I9</f>
        <v>0</v>
      </c>
      <c r="J7" s="217">
        <f aca="true" t="shared" si="0" ref="J7:J49">G7-I7</f>
        <v>3222677</v>
      </c>
    </row>
    <row r="8" spans="2:10" ht="28.5" customHeight="1" hidden="1">
      <c r="B8" s="233" t="s">
        <v>14</v>
      </c>
      <c r="C8" s="233"/>
      <c r="D8" s="233"/>
      <c r="E8" s="199" t="s">
        <v>15</v>
      </c>
      <c r="F8" s="235"/>
      <c r="G8" s="204"/>
      <c r="H8" s="204"/>
      <c r="I8" s="204"/>
      <c r="J8" s="204">
        <f t="shared" si="0"/>
        <v>0</v>
      </c>
    </row>
    <row r="9" spans="2:10" ht="54.75" customHeight="1" hidden="1">
      <c r="B9" s="233" t="s">
        <v>49</v>
      </c>
      <c r="C9" s="236" t="s">
        <v>50</v>
      </c>
      <c r="D9" s="236" t="s">
        <v>51</v>
      </c>
      <c r="E9" s="237" t="s">
        <v>302</v>
      </c>
      <c r="F9" s="238" t="s">
        <v>303</v>
      </c>
      <c r="G9" s="239"/>
      <c r="H9" s="16">
        <v>100</v>
      </c>
      <c r="I9" s="16">
        <v>0</v>
      </c>
      <c r="J9" s="204">
        <f t="shared" si="0"/>
        <v>0</v>
      </c>
    </row>
    <row r="10" spans="2:10" ht="25.5">
      <c r="B10" s="233" t="s">
        <v>49</v>
      </c>
      <c r="C10" s="236" t="s">
        <v>50</v>
      </c>
      <c r="D10" s="236" t="s">
        <v>51</v>
      </c>
      <c r="E10" s="237" t="s">
        <v>302</v>
      </c>
      <c r="F10" s="240" t="s">
        <v>304</v>
      </c>
      <c r="G10" s="241">
        <v>189245</v>
      </c>
      <c r="H10" s="204">
        <v>100</v>
      </c>
      <c r="I10" s="204">
        <v>0</v>
      </c>
      <c r="J10" s="204">
        <f t="shared" si="0"/>
        <v>189245</v>
      </c>
    </row>
    <row r="11" spans="2:10" ht="33.75" customHeight="1">
      <c r="B11" s="233" t="s">
        <v>49</v>
      </c>
      <c r="C11" s="236" t="s">
        <v>50</v>
      </c>
      <c r="D11" s="236" t="s">
        <v>51</v>
      </c>
      <c r="E11" s="237" t="s">
        <v>302</v>
      </c>
      <c r="F11" s="240" t="s">
        <v>305</v>
      </c>
      <c r="G11" s="241">
        <v>122181</v>
      </c>
      <c r="H11" s="204">
        <v>100</v>
      </c>
      <c r="I11" s="204">
        <v>0</v>
      </c>
      <c r="J11" s="204">
        <f t="shared" si="0"/>
        <v>122181</v>
      </c>
    </row>
    <row r="12" spans="2:10" ht="33" customHeight="1">
      <c r="B12" s="233" t="s">
        <v>49</v>
      </c>
      <c r="C12" s="236" t="s">
        <v>50</v>
      </c>
      <c r="D12" s="236" t="s">
        <v>51</v>
      </c>
      <c r="E12" s="237" t="s">
        <v>302</v>
      </c>
      <c r="F12" s="240" t="s">
        <v>306</v>
      </c>
      <c r="G12" s="242">
        <v>258153</v>
      </c>
      <c r="H12" s="204">
        <v>100</v>
      </c>
      <c r="I12" s="204">
        <v>0</v>
      </c>
      <c r="J12" s="204">
        <f t="shared" si="0"/>
        <v>258153</v>
      </c>
    </row>
    <row r="13" spans="2:10" ht="25.5">
      <c r="B13" s="233" t="s">
        <v>49</v>
      </c>
      <c r="C13" s="236" t="s">
        <v>50</v>
      </c>
      <c r="D13" s="236" t="s">
        <v>51</v>
      </c>
      <c r="E13" s="237" t="s">
        <v>302</v>
      </c>
      <c r="F13" s="240" t="s">
        <v>307</v>
      </c>
      <c r="G13" s="242">
        <v>200000</v>
      </c>
      <c r="H13" s="204">
        <v>100</v>
      </c>
      <c r="I13" s="204">
        <v>0</v>
      </c>
      <c r="J13" s="204">
        <f t="shared" si="0"/>
        <v>200000</v>
      </c>
    </row>
    <row r="14" spans="2:10" ht="25.5">
      <c r="B14" s="233" t="s">
        <v>49</v>
      </c>
      <c r="C14" s="236" t="s">
        <v>50</v>
      </c>
      <c r="D14" s="236" t="s">
        <v>51</v>
      </c>
      <c r="E14" s="237" t="s">
        <v>302</v>
      </c>
      <c r="F14" s="240" t="s">
        <v>308</v>
      </c>
      <c r="G14" s="242">
        <v>20000</v>
      </c>
      <c r="H14" s="204">
        <v>100</v>
      </c>
      <c r="I14" s="204">
        <v>0</v>
      </c>
      <c r="J14" s="204">
        <f t="shared" si="0"/>
        <v>20000</v>
      </c>
    </row>
    <row r="15" spans="2:10" ht="25.5">
      <c r="B15" s="233" t="s">
        <v>49</v>
      </c>
      <c r="C15" s="236" t="s">
        <v>50</v>
      </c>
      <c r="D15" s="236" t="s">
        <v>51</v>
      </c>
      <c r="E15" s="237" t="s">
        <v>302</v>
      </c>
      <c r="F15" s="240" t="s">
        <v>309</v>
      </c>
      <c r="G15" s="242">
        <v>290000</v>
      </c>
      <c r="H15" s="204">
        <v>100</v>
      </c>
      <c r="I15" s="204">
        <v>0</v>
      </c>
      <c r="J15" s="204">
        <f t="shared" si="0"/>
        <v>290000</v>
      </c>
    </row>
    <row r="16" spans="2:10" ht="25.5">
      <c r="B16" s="243" t="s">
        <v>49</v>
      </c>
      <c r="C16" s="236" t="s">
        <v>50</v>
      </c>
      <c r="D16" s="244" t="s">
        <v>51</v>
      </c>
      <c r="E16" s="237" t="s">
        <v>302</v>
      </c>
      <c r="F16" s="240" t="s">
        <v>310</v>
      </c>
      <c r="G16" s="242">
        <v>200000</v>
      </c>
      <c r="H16" s="204">
        <v>100</v>
      </c>
      <c r="I16" s="204">
        <v>0</v>
      </c>
      <c r="J16" s="245">
        <f t="shared" si="0"/>
        <v>200000</v>
      </c>
    </row>
    <row r="17" spans="2:10" ht="63.75">
      <c r="B17" s="243" t="s">
        <v>49</v>
      </c>
      <c r="C17" s="236" t="s">
        <v>50</v>
      </c>
      <c r="D17" s="244" t="s">
        <v>51</v>
      </c>
      <c r="E17" s="237" t="s">
        <v>302</v>
      </c>
      <c r="F17" s="240" t="s">
        <v>340</v>
      </c>
      <c r="G17" s="242">
        <v>107000</v>
      </c>
      <c r="H17" s="204">
        <v>100</v>
      </c>
      <c r="I17" s="204">
        <v>0</v>
      </c>
      <c r="J17" s="245">
        <f t="shared" si="0"/>
        <v>107000</v>
      </c>
    </row>
    <row r="18" spans="2:10" ht="38.25">
      <c r="B18" s="243" t="s">
        <v>49</v>
      </c>
      <c r="C18" s="236" t="s">
        <v>50</v>
      </c>
      <c r="D18" s="244" t="s">
        <v>51</v>
      </c>
      <c r="E18" s="237" t="s">
        <v>302</v>
      </c>
      <c r="F18" s="240" t="s">
        <v>341</v>
      </c>
      <c r="G18" s="242">
        <v>430000</v>
      </c>
      <c r="H18" s="204">
        <v>100</v>
      </c>
      <c r="I18" s="204">
        <v>0</v>
      </c>
      <c r="J18" s="245">
        <f aca="true" t="shared" si="1" ref="J18:J23">G18-I18</f>
        <v>430000</v>
      </c>
    </row>
    <row r="19" spans="2:10" ht="25.5">
      <c r="B19" s="243" t="s">
        <v>49</v>
      </c>
      <c r="C19" s="236" t="s">
        <v>50</v>
      </c>
      <c r="D19" s="244" t="s">
        <v>51</v>
      </c>
      <c r="E19" s="237" t="s">
        <v>302</v>
      </c>
      <c r="F19" s="240" t="s">
        <v>342</v>
      </c>
      <c r="G19" s="242">
        <v>80100</v>
      </c>
      <c r="H19" s="204">
        <v>100</v>
      </c>
      <c r="I19" s="204">
        <v>0</v>
      </c>
      <c r="J19" s="245">
        <f t="shared" si="1"/>
        <v>80100</v>
      </c>
    </row>
    <row r="20" spans="2:10" ht="43.5" customHeight="1">
      <c r="B20" s="243" t="s">
        <v>49</v>
      </c>
      <c r="C20" s="236" t="s">
        <v>50</v>
      </c>
      <c r="D20" s="244" t="s">
        <v>51</v>
      </c>
      <c r="E20" s="237" t="s">
        <v>302</v>
      </c>
      <c r="F20" s="240" t="s">
        <v>343</v>
      </c>
      <c r="G20" s="242">
        <v>446900</v>
      </c>
      <c r="H20" s="204">
        <v>100</v>
      </c>
      <c r="I20" s="204">
        <v>0</v>
      </c>
      <c r="J20" s="245">
        <f t="shared" si="1"/>
        <v>446900</v>
      </c>
    </row>
    <row r="21" spans="2:10" ht="31.5" customHeight="1">
      <c r="B21" s="243" t="s">
        <v>49</v>
      </c>
      <c r="C21" s="236" t="s">
        <v>50</v>
      </c>
      <c r="D21" s="244" t="s">
        <v>51</v>
      </c>
      <c r="E21" s="237" t="s">
        <v>302</v>
      </c>
      <c r="F21" s="240" t="s">
        <v>344</v>
      </c>
      <c r="G21" s="242">
        <v>60000</v>
      </c>
      <c r="H21" s="204">
        <v>100</v>
      </c>
      <c r="I21" s="204">
        <v>0</v>
      </c>
      <c r="J21" s="245">
        <f t="shared" si="1"/>
        <v>60000</v>
      </c>
    </row>
    <row r="22" spans="2:10" ht="25.5">
      <c r="B22" s="243" t="s">
        <v>49</v>
      </c>
      <c r="C22" s="236" t="s">
        <v>50</v>
      </c>
      <c r="D22" s="244" t="s">
        <v>51</v>
      </c>
      <c r="E22" s="237" t="s">
        <v>302</v>
      </c>
      <c r="F22" s="240" t="s">
        <v>345</v>
      </c>
      <c r="G22" s="242">
        <v>13650</v>
      </c>
      <c r="H22" s="204">
        <v>100</v>
      </c>
      <c r="I22" s="204">
        <v>0</v>
      </c>
      <c r="J22" s="245">
        <f>G22-I22</f>
        <v>13650</v>
      </c>
    </row>
    <row r="23" spans="2:10" ht="31.5" customHeight="1">
      <c r="B23" s="243" t="s">
        <v>49</v>
      </c>
      <c r="C23" s="236" t="s">
        <v>50</v>
      </c>
      <c r="D23" s="244" t="s">
        <v>51</v>
      </c>
      <c r="E23" s="237" t="s">
        <v>302</v>
      </c>
      <c r="F23" s="240" t="s">
        <v>311</v>
      </c>
      <c r="G23" s="242">
        <v>805448</v>
      </c>
      <c r="H23" s="204">
        <v>100</v>
      </c>
      <c r="I23" s="204">
        <v>0</v>
      </c>
      <c r="J23" s="245">
        <f t="shared" si="1"/>
        <v>805448</v>
      </c>
    </row>
    <row r="24" spans="2:10" ht="25.5" hidden="1">
      <c r="B24" s="233" t="s">
        <v>49</v>
      </c>
      <c r="C24" s="236" t="s">
        <v>50</v>
      </c>
      <c r="D24" s="236" t="s">
        <v>51</v>
      </c>
      <c r="E24" s="237" t="s">
        <v>302</v>
      </c>
      <c r="F24" s="240"/>
      <c r="G24" s="242"/>
      <c r="H24" s="204">
        <v>0</v>
      </c>
      <c r="I24" s="204">
        <v>0</v>
      </c>
      <c r="J24" s="204">
        <f t="shared" si="0"/>
        <v>0</v>
      </c>
    </row>
    <row r="25" spans="2:10" ht="25.5" hidden="1">
      <c r="B25" s="233" t="s">
        <v>49</v>
      </c>
      <c r="C25" s="236" t="s">
        <v>50</v>
      </c>
      <c r="D25" s="236" t="s">
        <v>51</v>
      </c>
      <c r="E25" s="237" t="s">
        <v>302</v>
      </c>
      <c r="F25" s="240"/>
      <c r="G25" s="246"/>
      <c r="H25" s="204">
        <v>0</v>
      </c>
      <c r="I25" s="204">
        <v>0</v>
      </c>
      <c r="J25" s="204">
        <f t="shared" si="0"/>
        <v>0</v>
      </c>
    </row>
    <row r="26" spans="2:10" ht="25.5" hidden="1">
      <c r="B26" s="233" t="s">
        <v>49</v>
      </c>
      <c r="C26" s="236" t="s">
        <v>50</v>
      </c>
      <c r="D26" s="236" t="s">
        <v>51</v>
      </c>
      <c r="E26" s="237" t="s">
        <v>302</v>
      </c>
      <c r="F26" s="240"/>
      <c r="G26" s="246"/>
      <c r="H26" s="204">
        <v>0</v>
      </c>
      <c r="I26" s="204">
        <v>0</v>
      </c>
      <c r="J26" s="204">
        <f t="shared" si="0"/>
        <v>0</v>
      </c>
    </row>
    <row r="27" spans="2:10" ht="25.5" hidden="1">
      <c r="B27" s="233" t="s">
        <v>49</v>
      </c>
      <c r="C27" s="236" t="s">
        <v>50</v>
      </c>
      <c r="D27" s="236" t="s">
        <v>51</v>
      </c>
      <c r="E27" s="237" t="s">
        <v>302</v>
      </c>
      <c r="F27" s="240"/>
      <c r="G27" s="246"/>
      <c r="H27" s="204">
        <v>0</v>
      </c>
      <c r="I27" s="204">
        <v>0</v>
      </c>
      <c r="J27" s="204">
        <f t="shared" si="0"/>
        <v>0</v>
      </c>
    </row>
    <row r="28" spans="2:10" ht="25.5" hidden="1">
      <c r="B28" s="233" t="s">
        <v>49</v>
      </c>
      <c r="C28" s="236" t="s">
        <v>50</v>
      </c>
      <c r="D28" s="236" t="s">
        <v>51</v>
      </c>
      <c r="E28" s="237" t="s">
        <v>302</v>
      </c>
      <c r="F28" s="240"/>
      <c r="G28" s="246"/>
      <c r="H28" s="204">
        <v>0</v>
      </c>
      <c r="I28" s="204">
        <v>0</v>
      </c>
      <c r="J28" s="204">
        <f t="shared" si="0"/>
        <v>0</v>
      </c>
    </row>
    <row r="29" spans="2:10" ht="25.5" hidden="1">
      <c r="B29" s="233" t="s">
        <v>49</v>
      </c>
      <c r="C29" s="236" t="s">
        <v>50</v>
      </c>
      <c r="D29" s="236" t="s">
        <v>51</v>
      </c>
      <c r="E29" s="237" t="s">
        <v>302</v>
      </c>
      <c r="F29" s="247"/>
      <c r="G29" s="204"/>
      <c r="H29" s="204">
        <v>0</v>
      </c>
      <c r="I29" s="204">
        <v>0</v>
      </c>
      <c r="J29" s="204">
        <f t="shared" si="0"/>
        <v>0</v>
      </c>
    </row>
    <row r="30" spans="2:10" ht="25.5" hidden="1">
      <c r="B30" s="233" t="s">
        <v>49</v>
      </c>
      <c r="C30" s="236" t="s">
        <v>50</v>
      </c>
      <c r="D30" s="236" t="s">
        <v>51</v>
      </c>
      <c r="E30" s="237" t="s">
        <v>302</v>
      </c>
      <c r="F30" s="247"/>
      <c r="G30" s="204"/>
      <c r="H30" s="204">
        <v>0</v>
      </c>
      <c r="I30" s="204">
        <v>0</v>
      </c>
      <c r="J30" s="204">
        <f t="shared" si="0"/>
        <v>0</v>
      </c>
    </row>
    <row r="31" spans="2:10" ht="25.5" hidden="1">
      <c r="B31" s="233" t="s">
        <v>49</v>
      </c>
      <c r="C31" s="236" t="s">
        <v>50</v>
      </c>
      <c r="D31" s="236" t="s">
        <v>51</v>
      </c>
      <c r="E31" s="237" t="s">
        <v>302</v>
      </c>
      <c r="F31" s="247"/>
      <c r="G31" s="204"/>
      <c r="H31" s="204">
        <v>0</v>
      </c>
      <c r="I31" s="204">
        <v>0</v>
      </c>
      <c r="J31" s="204">
        <f t="shared" si="0"/>
        <v>0</v>
      </c>
    </row>
    <row r="32" spans="2:10" ht="25.5" hidden="1">
      <c r="B32" s="233" t="s">
        <v>49</v>
      </c>
      <c r="C32" s="236" t="s">
        <v>50</v>
      </c>
      <c r="D32" s="236" t="s">
        <v>51</v>
      </c>
      <c r="E32" s="237" t="s">
        <v>302</v>
      </c>
      <c r="F32" s="247"/>
      <c r="G32" s="204"/>
      <c r="H32" s="204">
        <v>0</v>
      </c>
      <c r="I32" s="204">
        <v>0</v>
      </c>
      <c r="J32" s="204">
        <f t="shared" si="0"/>
        <v>0</v>
      </c>
    </row>
    <row r="33" spans="2:10" ht="25.5" hidden="1">
      <c r="B33" s="233" t="s">
        <v>49</v>
      </c>
      <c r="C33" s="236" t="s">
        <v>50</v>
      </c>
      <c r="D33" s="236" t="s">
        <v>51</v>
      </c>
      <c r="E33" s="237" t="s">
        <v>302</v>
      </c>
      <c r="F33" s="247"/>
      <c r="G33" s="204"/>
      <c r="H33" s="204">
        <v>0</v>
      </c>
      <c r="I33" s="204">
        <v>0</v>
      </c>
      <c r="J33" s="204">
        <f t="shared" si="0"/>
        <v>0</v>
      </c>
    </row>
    <row r="34" spans="2:10" ht="25.5" hidden="1">
      <c r="B34" s="233" t="s">
        <v>49</v>
      </c>
      <c r="C34" s="236" t="s">
        <v>50</v>
      </c>
      <c r="D34" s="236" t="s">
        <v>51</v>
      </c>
      <c r="E34" s="237" t="s">
        <v>302</v>
      </c>
      <c r="F34" s="247"/>
      <c r="G34" s="204"/>
      <c r="H34" s="204">
        <v>0</v>
      </c>
      <c r="I34" s="204">
        <v>0</v>
      </c>
      <c r="J34" s="204">
        <f t="shared" si="0"/>
        <v>0</v>
      </c>
    </row>
    <row r="35" spans="2:10" ht="25.5" hidden="1">
      <c r="B35" s="233" t="s">
        <v>49</v>
      </c>
      <c r="C35" s="236" t="s">
        <v>50</v>
      </c>
      <c r="D35" s="236" t="s">
        <v>51</v>
      </c>
      <c r="E35" s="237" t="s">
        <v>302</v>
      </c>
      <c r="F35" s="247"/>
      <c r="G35" s="204"/>
      <c r="H35" s="204">
        <v>0</v>
      </c>
      <c r="I35" s="204">
        <v>0</v>
      </c>
      <c r="J35" s="204">
        <f t="shared" si="0"/>
        <v>0</v>
      </c>
    </row>
    <row r="36" spans="2:10" ht="25.5" hidden="1">
      <c r="B36" s="233" t="s">
        <v>49</v>
      </c>
      <c r="C36" s="236" t="s">
        <v>50</v>
      </c>
      <c r="D36" s="236" t="s">
        <v>51</v>
      </c>
      <c r="E36" s="237" t="s">
        <v>302</v>
      </c>
      <c r="F36" s="247"/>
      <c r="G36" s="204"/>
      <c r="H36" s="204">
        <v>0</v>
      </c>
      <c r="I36" s="204">
        <v>0</v>
      </c>
      <c r="J36" s="204">
        <f t="shared" si="0"/>
        <v>0</v>
      </c>
    </row>
    <row r="37" spans="2:10" ht="25.5" hidden="1">
      <c r="B37" s="233" t="s">
        <v>49</v>
      </c>
      <c r="C37" s="236" t="s">
        <v>50</v>
      </c>
      <c r="D37" s="236" t="s">
        <v>51</v>
      </c>
      <c r="E37" s="237" t="s">
        <v>302</v>
      </c>
      <c r="F37" s="247"/>
      <c r="G37" s="204"/>
      <c r="H37" s="204">
        <v>0</v>
      </c>
      <c r="I37" s="204">
        <v>0</v>
      </c>
      <c r="J37" s="204">
        <f t="shared" si="0"/>
        <v>0</v>
      </c>
    </row>
    <row r="38" spans="2:10" ht="25.5" hidden="1">
      <c r="B38" s="233" t="s">
        <v>49</v>
      </c>
      <c r="C38" s="236" t="s">
        <v>50</v>
      </c>
      <c r="D38" s="236" t="s">
        <v>51</v>
      </c>
      <c r="E38" s="237" t="s">
        <v>302</v>
      </c>
      <c r="F38" s="247"/>
      <c r="G38" s="204"/>
      <c r="H38" s="204">
        <v>0</v>
      </c>
      <c r="I38" s="204">
        <v>0</v>
      </c>
      <c r="J38" s="204">
        <f t="shared" si="0"/>
        <v>0</v>
      </c>
    </row>
    <row r="39" spans="2:10" ht="25.5" hidden="1">
      <c r="B39" s="233" t="s">
        <v>49</v>
      </c>
      <c r="C39" s="236" t="s">
        <v>50</v>
      </c>
      <c r="D39" s="236" t="s">
        <v>51</v>
      </c>
      <c r="E39" s="237" t="s">
        <v>302</v>
      </c>
      <c r="F39" s="247"/>
      <c r="G39" s="204"/>
      <c r="H39" s="204">
        <v>0</v>
      </c>
      <c r="I39" s="204">
        <v>0</v>
      </c>
      <c r="J39" s="204">
        <f t="shared" si="0"/>
        <v>0</v>
      </c>
    </row>
    <row r="40" spans="2:10" ht="25.5" hidden="1">
      <c r="B40" s="233" t="s">
        <v>49</v>
      </c>
      <c r="C40" s="236" t="s">
        <v>50</v>
      </c>
      <c r="D40" s="236" t="s">
        <v>51</v>
      </c>
      <c r="E40" s="237" t="s">
        <v>302</v>
      </c>
      <c r="F40" s="247"/>
      <c r="G40" s="204"/>
      <c r="H40" s="204">
        <v>0</v>
      </c>
      <c r="I40" s="204">
        <v>0</v>
      </c>
      <c r="J40" s="204">
        <f t="shared" si="0"/>
        <v>0</v>
      </c>
    </row>
    <row r="41" spans="2:10" ht="25.5" hidden="1">
      <c r="B41" s="233" t="s">
        <v>49</v>
      </c>
      <c r="C41" s="236" t="s">
        <v>50</v>
      </c>
      <c r="D41" s="236" t="s">
        <v>51</v>
      </c>
      <c r="E41" s="237" t="s">
        <v>302</v>
      </c>
      <c r="F41" s="247"/>
      <c r="G41" s="204"/>
      <c r="H41" s="204">
        <v>0</v>
      </c>
      <c r="I41" s="204">
        <v>0</v>
      </c>
      <c r="J41" s="204">
        <f t="shared" si="0"/>
        <v>0</v>
      </c>
    </row>
    <row r="42" spans="2:10" ht="25.5" hidden="1">
      <c r="B42" s="233" t="s">
        <v>49</v>
      </c>
      <c r="C42" s="236" t="s">
        <v>50</v>
      </c>
      <c r="D42" s="236" t="s">
        <v>51</v>
      </c>
      <c r="E42" s="237" t="s">
        <v>302</v>
      </c>
      <c r="F42" s="247"/>
      <c r="G42" s="204"/>
      <c r="H42" s="204">
        <v>0</v>
      </c>
      <c r="I42" s="204">
        <v>0</v>
      </c>
      <c r="J42" s="204">
        <f t="shared" si="0"/>
        <v>0</v>
      </c>
    </row>
    <row r="43" spans="2:10" ht="25.5" hidden="1">
      <c r="B43" s="233" t="s">
        <v>49</v>
      </c>
      <c r="C43" s="236" t="s">
        <v>50</v>
      </c>
      <c r="D43" s="236" t="s">
        <v>51</v>
      </c>
      <c r="E43" s="237" t="s">
        <v>302</v>
      </c>
      <c r="F43" s="247"/>
      <c r="G43" s="204"/>
      <c r="H43" s="204">
        <v>0</v>
      </c>
      <c r="I43" s="204">
        <v>0</v>
      </c>
      <c r="J43" s="204">
        <f t="shared" si="0"/>
        <v>0</v>
      </c>
    </row>
    <row r="44" spans="2:10" ht="25.5" hidden="1">
      <c r="B44" s="233" t="s">
        <v>49</v>
      </c>
      <c r="C44" s="236" t="s">
        <v>50</v>
      </c>
      <c r="D44" s="236" t="s">
        <v>51</v>
      </c>
      <c r="E44" s="237" t="s">
        <v>302</v>
      </c>
      <c r="F44" s="247"/>
      <c r="G44" s="204"/>
      <c r="H44" s="204">
        <v>0</v>
      </c>
      <c r="I44" s="204">
        <v>0</v>
      </c>
      <c r="J44" s="204">
        <f t="shared" si="0"/>
        <v>0</v>
      </c>
    </row>
    <row r="45" spans="2:10" ht="25.5" hidden="1">
      <c r="B45" s="233" t="s">
        <v>49</v>
      </c>
      <c r="C45" s="236" t="s">
        <v>50</v>
      </c>
      <c r="D45" s="236" t="s">
        <v>51</v>
      </c>
      <c r="E45" s="237" t="s">
        <v>302</v>
      </c>
      <c r="F45" s="247"/>
      <c r="G45" s="204"/>
      <c r="H45" s="204">
        <v>0</v>
      </c>
      <c r="I45" s="204">
        <v>0</v>
      </c>
      <c r="J45" s="204">
        <f t="shared" si="0"/>
        <v>0</v>
      </c>
    </row>
    <row r="46" spans="2:10" ht="25.5" hidden="1">
      <c r="B46" s="233" t="s">
        <v>49</v>
      </c>
      <c r="C46" s="236" t="s">
        <v>50</v>
      </c>
      <c r="D46" s="236" t="s">
        <v>51</v>
      </c>
      <c r="E46" s="237" t="s">
        <v>302</v>
      </c>
      <c r="F46" s="247"/>
      <c r="G46" s="204"/>
      <c r="H46" s="204">
        <v>0</v>
      </c>
      <c r="I46" s="204">
        <v>0</v>
      </c>
      <c r="J46" s="204">
        <f t="shared" si="0"/>
        <v>0</v>
      </c>
    </row>
    <row r="47" spans="2:10" ht="25.5" hidden="1">
      <c r="B47" s="233" t="s">
        <v>49</v>
      </c>
      <c r="C47" s="236" t="s">
        <v>50</v>
      </c>
      <c r="D47" s="236" t="s">
        <v>51</v>
      </c>
      <c r="E47" s="237" t="s">
        <v>302</v>
      </c>
      <c r="F47" s="247"/>
      <c r="G47" s="204"/>
      <c r="H47" s="204">
        <v>0</v>
      </c>
      <c r="I47" s="204">
        <v>0</v>
      </c>
      <c r="J47" s="204">
        <f t="shared" si="0"/>
        <v>0</v>
      </c>
    </row>
    <row r="48" spans="2:10" ht="25.5" hidden="1">
      <c r="B48" s="233" t="s">
        <v>49</v>
      </c>
      <c r="C48" s="236" t="s">
        <v>50</v>
      </c>
      <c r="D48" s="236" t="s">
        <v>51</v>
      </c>
      <c r="E48" s="237" t="s">
        <v>302</v>
      </c>
      <c r="F48" s="247"/>
      <c r="G48" s="204"/>
      <c r="H48" s="204">
        <v>0</v>
      </c>
      <c r="I48" s="204">
        <v>0</v>
      </c>
      <c r="J48" s="204">
        <f t="shared" si="0"/>
        <v>0</v>
      </c>
    </row>
    <row r="49" spans="2:10" ht="25.5" hidden="1">
      <c r="B49" s="233" t="s">
        <v>49</v>
      </c>
      <c r="C49" s="236" t="s">
        <v>50</v>
      </c>
      <c r="D49" s="236" t="s">
        <v>51</v>
      </c>
      <c r="E49" s="237" t="s">
        <v>302</v>
      </c>
      <c r="F49" s="247"/>
      <c r="G49" s="204"/>
      <c r="H49" s="204">
        <v>0</v>
      </c>
      <c r="I49" s="204">
        <v>0</v>
      </c>
      <c r="J49" s="204">
        <f t="shared" si="0"/>
        <v>0</v>
      </c>
    </row>
    <row r="50" spans="2:10" ht="12.75" hidden="1">
      <c r="B50" s="233" t="s">
        <v>49</v>
      </c>
      <c r="C50" s="232">
        <v>150101</v>
      </c>
      <c r="D50" s="236" t="s">
        <v>51</v>
      </c>
      <c r="E50" s="248" t="s">
        <v>312</v>
      </c>
      <c r="F50" s="247"/>
      <c r="G50" s="204"/>
      <c r="H50" s="204"/>
      <c r="I50" s="204"/>
      <c r="J50" s="204"/>
    </row>
    <row r="51" spans="2:10" ht="12.75" hidden="1">
      <c r="B51" s="233" t="s">
        <v>49</v>
      </c>
      <c r="C51" s="232">
        <v>150101</v>
      </c>
      <c r="D51" s="236" t="s">
        <v>51</v>
      </c>
      <c r="E51" s="248" t="s">
        <v>312</v>
      </c>
      <c r="F51" s="247"/>
      <c r="G51" s="204"/>
      <c r="H51" s="204"/>
      <c r="I51" s="204"/>
      <c r="J51" s="204">
        <f>G51-I51</f>
        <v>0</v>
      </c>
    </row>
    <row r="52" spans="2:10" ht="12.75" hidden="1">
      <c r="B52" s="233" t="s">
        <v>49</v>
      </c>
      <c r="C52" s="232">
        <v>150101</v>
      </c>
      <c r="D52" s="236" t="s">
        <v>51</v>
      </c>
      <c r="E52" s="248" t="s">
        <v>312</v>
      </c>
      <c r="F52" s="247"/>
      <c r="G52" s="204"/>
      <c r="H52" s="204"/>
      <c r="I52" s="204"/>
      <c r="J52" s="204"/>
    </row>
    <row r="53" spans="2:10" ht="12.75" hidden="1">
      <c r="B53" s="233" t="s">
        <v>49</v>
      </c>
      <c r="C53" s="232">
        <v>150101</v>
      </c>
      <c r="D53" s="236" t="s">
        <v>51</v>
      </c>
      <c r="E53" s="248" t="s">
        <v>312</v>
      </c>
      <c r="F53" s="247"/>
      <c r="G53" s="204"/>
      <c r="H53" s="204"/>
      <c r="I53" s="204"/>
      <c r="J53" s="204"/>
    </row>
    <row r="54" spans="2:10" ht="12.75" hidden="1">
      <c r="B54" s="233" t="s">
        <v>49</v>
      </c>
      <c r="C54" s="232">
        <v>150101</v>
      </c>
      <c r="D54" s="236" t="s">
        <v>51</v>
      </c>
      <c r="E54" s="248" t="s">
        <v>312</v>
      </c>
      <c r="F54" s="247"/>
      <c r="G54" s="204"/>
      <c r="H54" s="204"/>
      <c r="I54" s="204"/>
      <c r="J54" s="204"/>
    </row>
    <row r="55" spans="2:10" ht="12.75" hidden="1">
      <c r="B55" s="233" t="s">
        <v>49</v>
      </c>
      <c r="C55" s="232">
        <v>150101</v>
      </c>
      <c r="D55" s="236" t="s">
        <v>51</v>
      </c>
      <c r="E55" s="248" t="s">
        <v>312</v>
      </c>
      <c r="F55" s="247"/>
      <c r="G55" s="204"/>
      <c r="H55" s="204"/>
      <c r="I55" s="204"/>
      <c r="J55" s="204">
        <f>G55-I55</f>
        <v>0</v>
      </c>
    </row>
    <row r="56" spans="2:10" ht="12.75">
      <c r="B56" s="233"/>
      <c r="C56" s="232"/>
      <c r="D56" s="236"/>
      <c r="E56" s="248"/>
      <c r="F56" s="247"/>
      <c r="G56" s="204"/>
      <c r="H56" s="204"/>
      <c r="I56" s="204"/>
      <c r="J56" s="204"/>
    </row>
    <row r="57" spans="2:10" ht="24.75" customHeight="1">
      <c r="B57" s="249"/>
      <c r="C57" s="249"/>
      <c r="D57" s="236"/>
      <c r="E57" s="250" t="s">
        <v>5</v>
      </c>
      <c r="F57" s="251"/>
      <c r="G57" s="252">
        <f>SUM(G10:G56)</f>
        <v>3222677</v>
      </c>
      <c r="H57" s="252">
        <v>100</v>
      </c>
      <c r="I57" s="252">
        <f>SUM(I10:I56)</f>
        <v>0</v>
      </c>
      <c r="J57" s="252">
        <f>SUM(J10:J56)</f>
        <v>3222677</v>
      </c>
    </row>
    <row r="58" ht="7.5" customHeight="1"/>
    <row r="59" spans="2:10" ht="2.25" customHeight="1">
      <c r="B59" s="353"/>
      <c r="C59" s="353"/>
      <c r="D59" s="353"/>
      <c r="E59" s="353"/>
      <c r="F59" s="353"/>
      <c r="G59" s="353"/>
      <c r="H59" s="353"/>
      <c r="I59" s="353"/>
      <c r="J59" s="353"/>
    </row>
    <row r="60" spans="1:17" s="226" customFormat="1" ht="20.25" customHeight="1">
      <c r="A60" s="225"/>
      <c r="B60" s="354" t="s">
        <v>347</v>
      </c>
      <c r="C60" s="354"/>
      <c r="D60" s="354"/>
      <c r="E60" s="354"/>
      <c r="F60" s="354"/>
      <c r="G60" s="354"/>
      <c r="H60" s="354"/>
      <c r="I60" s="354"/>
      <c r="J60" s="354"/>
      <c r="K60" s="253"/>
      <c r="L60" s="253"/>
      <c r="M60" s="253"/>
      <c r="N60" s="253"/>
      <c r="O60" s="253"/>
      <c r="P60" s="253"/>
      <c r="Q60" s="253"/>
    </row>
    <row r="61" spans="2:17" ht="19.5" customHeight="1">
      <c r="B61" s="355"/>
      <c r="C61" s="355"/>
      <c r="D61" s="355"/>
      <c r="E61" s="355"/>
      <c r="F61" s="355"/>
      <c r="G61" s="355"/>
      <c r="H61" s="355"/>
      <c r="I61" s="355"/>
      <c r="J61" s="355"/>
      <c r="K61" s="30"/>
      <c r="L61" s="30"/>
      <c r="M61" s="30"/>
      <c r="N61" s="30"/>
      <c r="O61" s="30"/>
      <c r="P61" s="30"/>
      <c r="Q61" s="30"/>
    </row>
    <row r="62" spans="4:8" ht="41.25" customHeight="1">
      <c r="D62" s="129" t="s">
        <v>3</v>
      </c>
      <c r="E62" s="35"/>
      <c r="H62" s="3" t="s">
        <v>313</v>
      </c>
    </row>
    <row r="63" spans="2:8" ht="19.5" customHeight="1">
      <c r="B63" s="254"/>
      <c r="D63" s="8"/>
      <c r="E63" s="8"/>
      <c r="F63" s="36"/>
      <c r="G63" s="8"/>
      <c r="H63" s="8"/>
    </row>
  </sheetData>
  <sheetProtection/>
  <mergeCells count="6">
    <mergeCell ref="B59:J59"/>
    <mergeCell ref="B60:J60"/>
    <mergeCell ref="B61:J61"/>
    <mergeCell ref="B1:J1"/>
    <mergeCell ref="G2:J2"/>
    <mergeCell ref="B3:J3"/>
  </mergeCells>
  <printOptions horizontalCentered="1"/>
  <pageMargins left="0.2362204724409449" right="0.2755905511811024" top="0.1968503937007874" bottom="0" header="0.1968503937007874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Ekon_vid</dc:creator>
  <cp:keywords/>
  <dc:description/>
  <cp:lastModifiedBy>Paradise</cp:lastModifiedBy>
  <cp:lastPrinted>2017-04-18T14:18:17Z</cp:lastPrinted>
  <dcterms:created xsi:type="dcterms:W3CDTF">2016-12-14T07:29:31Z</dcterms:created>
  <dcterms:modified xsi:type="dcterms:W3CDTF">2017-04-19T07:01:01Z</dcterms:modified>
  <cp:category/>
  <cp:version/>
  <cp:contentType/>
  <cp:contentStatus/>
</cp:coreProperties>
</file>